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4AEFFDDE-5AB4-4B8F-8AFC-32AB41C17977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O86" i="1" l="1"/>
  <c r="N86" i="1"/>
  <c r="M86" i="1"/>
  <c r="L86" i="1"/>
  <c r="K86" i="1"/>
  <c r="H73" i="1"/>
  <c r="P79" i="1" s="1"/>
  <c r="H71" i="1"/>
  <c r="H70" i="1"/>
  <c r="P75" i="1"/>
  <c r="P74" i="1"/>
  <c r="P77" i="1"/>
  <c r="P78" i="1"/>
  <c r="O84" i="1"/>
  <c r="N84" i="1"/>
  <c r="M84" i="1"/>
  <c r="L84" i="1"/>
  <c r="K84" i="1"/>
  <c r="P84" i="1"/>
  <c r="N82" i="1"/>
  <c r="M82" i="1"/>
  <c r="L82" i="1"/>
  <c r="K82" i="1"/>
  <c r="H60" i="1"/>
  <c r="G60" i="1"/>
  <c r="H55" i="1" s="1"/>
  <c r="H23" i="1"/>
  <c r="O89" i="1"/>
  <c r="O87" i="1"/>
  <c r="O77" i="1"/>
  <c r="O85" i="1"/>
  <c r="H72" i="1"/>
  <c r="G72" i="1"/>
  <c r="G70" i="1"/>
  <c r="P64" i="1"/>
  <c r="P57" i="1"/>
  <c r="P52" i="1"/>
  <c r="P43" i="1"/>
  <c r="P68" i="1" s="1"/>
  <c r="P30" i="1"/>
  <c r="P12" i="1"/>
  <c r="P83" i="1" s="1"/>
  <c r="P8" i="1"/>
  <c r="P14" i="1" s="1"/>
  <c r="P82" i="1" s="1"/>
  <c r="P7" i="1"/>
  <c r="H68" i="1"/>
  <c r="H63" i="1"/>
  <c r="H65" i="1" s="1"/>
  <c r="H59" i="1"/>
  <c r="H43" i="1"/>
  <c r="H30" i="1"/>
  <c r="H13" i="1"/>
  <c r="H14" i="1" s="1"/>
  <c r="A15" i="1"/>
  <c r="N89" i="1"/>
  <c r="M89" i="1"/>
  <c r="L89" i="1"/>
  <c r="K89" i="1"/>
  <c r="N87" i="1"/>
  <c r="M87" i="1"/>
  <c r="L87" i="1"/>
  <c r="K87" i="1"/>
  <c r="N85" i="1"/>
  <c r="M85" i="1"/>
  <c r="L85" i="1"/>
  <c r="O74" i="1"/>
  <c r="N74" i="1"/>
  <c r="N77" i="1" s="1"/>
  <c r="M74" i="1"/>
  <c r="M77" i="1" s="1"/>
  <c r="L74" i="1"/>
  <c r="L77" i="1" s="1"/>
  <c r="K74" i="1"/>
  <c r="K77" i="1" s="1"/>
  <c r="F72" i="1"/>
  <c r="E72" i="1"/>
  <c r="D72" i="1"/>
  <c r="C72" i="1"/>
  <c r="G68" i="1"/>
  <c r="F68" i="1"/>
  <c r="F70" i="1" s="1"/>
  <c r="E68" i="1"/>
  <c r="E70" i="1" s="1"/>
  <c r="D68" i="1"/>
  <c r="D70" i="1" s="1"/>
  <c r="O64" i="1"/>
  <c r="N64" i="1"/>
  <c r="G64" i="1"/>
  <c r="E64" i="1"/>
  <c r="D64" i="1"/>
  <c r="G63" i="1"/>
  <c r="F63" i="1"/>
  <c r="F65" i="1" s="1"/>
  <c r="E63" i="1"/>
  <c r="D63" i="1"/>
  <c r="C63" i="1"/>
  <c r="C65" i="1" s="1"/>
  <c r="G59" i="1"/>
  <c r="F59" i="1"/>
  <c r="E59" i="1"/>
  <c r="D59" i="1"/>
  <c r="C59" i="1"/>
  <c r="C60" i="1" s="1"/>
  <c r="D55" i="1" s="1"/>
  <c r="O57" i="1"/>
  <c r="O88" i="1" s="1"/>
  <c r="N57" i="1"/>
  <c r="M57" i="1"/>
  <c r="L57" i="1"/>
  <c r="M88" i="1" s="1"/>
  <c r="K57" i="1"/>
  <c r="K88" i="1" s="1"/>
  <c r="M55" i="1"/>
  <c r="M64" i="1" s="1"/>
  <c r="L55" i="1"/>
  <c r="L64" i="1" s="1"/>
  <c r="K55" i="1"/>
  <c r="K64" i="1" s="1"/>
  <c r="O52" i="1"/>
  <c r="N52" i="1"/>
  <c r="N69" i="1" s="1"/>
  <c r="G52" i="1"/>
  <c r="F52" i="1"/>
  <c r="E52" i="1"/>
  <c r="G51" i="1"/>
  <c r="F51" i="1"/>
  <c r="E51" i="1"/>
  <c r="D51" i="1"/>
  <c r="M46" i="1"/>
  <c r="M52" i="1" s="1"/>
  <c r="M69" i="1" s="1"/>
  <c r="L46" i="1"/>
  <c r="L52" i="1" s="1"/>
  <c r="K46" i="1"/>
  <c r="K52" i="1" s="1"/>
  <c r="K69" i="1" s="1"/>
  <c r="O43" i="1"/>
  <c r="O91" i="1" s="1"/>
  <c r="N43" i="1"/>
  <c r="N91" i="1" s="1"/>
  <c r="M43" i="1"/>
  <c r="L43" i="1"/>
  <c r="K43" i="1"/>
  <c r="G43" i="1"/>
  <c r="F43" i="1"/>
  <c r="E43" i="1"/>
  <c r="D43" i="1"/>
  <c r="C43" i="1"/>
  <c r="H35" i="1"/>
  <c r="F35" i="1"/>
  <c r="E35" i="1"/>
  <c r="D35" i="1"/>
  <c r="C35" i="1"/>
  <c r="O30" i="1"/>
  <c r="N30" i="1"/>
  <c r="M30" i="1"/>
  <c r="L30" i="1"/>
  <c r="K30" i="1"/>
  <c r="G30" i="1"/>
  <c r="F30" i="1"/>
  <c r="E30" i="1"/>
  <c r="D30" i="1"/>
  <c r="C30" i="1"/>
  <c r="G13" i="1"/>
  <c r="F13" i="1"/>
  <c r="F14" i="1" s="1"/>
  <c r="E13" i="1"/>
  <c r="D13" i="1"/>
  <c r="D14" i="1" s="1"/>
  <c r="C13" i="1"/>
  <c r="C21" i="1" s="1"/>
  <c r="O12" i="1"/>
  <c r="N12" i="1"/>
  <c r="M12" i="1"/>
  <c r="L12" i="1"/>
  <c r="K12" i="1"/>
  <c r="O8" i="1"/>
  <c r="O81" i="1" s="1"/>
  <c r="N8" i="1"/>
  <c r="M8" i="1"/>
  <c r="L8" i="1"/>
  <c r="K8" i="1"/>
  <c r="O7" i="1"/>
  <c r="N7" i="1"/>
  <c r="M7" i="1"/>
  <c r="L7" i="1"/>
  <c r="K7" i="1"/>
  <c r="G7" i="1"/>
  <c r="F7" i="1"/>
  <c r="E7" i="1"/>
  <c r="G6" i="1"/>
  <c r="F6" i="1"/>
  <c r="E6" i="1"/>
  <c r="D6" i="1"/>
  <c r="O83" i="1" l="1"/>
  <c r="O90" i="1"/>
  <c r="P81" i="1"/>
  <c r="G71" i="1"/>
  <c r="O75" i="1"/>
  <c r="O78" i="1" s="1"/>
  <c r="G65" i="1"/>
  <c r="P69" i="1"/>
  <c r="P70" i="1" s="1"/>
  <c r="M75" i="1"/>
  <c r="M78" i="1" s="1"/>
  <c r="P66" i="1"/>
  <c r="D65" i="1"/>
  <c r="H21" i="1"/>
  <c r="E65" i="1"/>
  <c r="K70" i="1"/>
  <c r="M70" i="1"/>
  <c r="K68" i="1"/>
  <c r="K14" i="1"/>
  <c r="F21" i="1"/>
  <c r="F25" i="1" s="1"/>
  <c r="F32" i="1" s="1"/>
  <c r="F36" i="1" s="1"/>
  <c r="E14" i="1"/>
  <c r="O14" i="1"/>
  <c r="O82" i="1" s="1"/>
  <c r="D15" i="1"/>
  <c r="L66" i="1"/>
  <c r="L88" i="1"/>
  <c r="L90" i="1" s="1"/>
  <c r="D21" i="1"/>
  <c r="O69" i="1"/>
  <c r="O70" i="1" s="1"/>
  <c r="N88" i="1"/>
  <c r="N90" i="1" s="1"/>
  <c r="N66" i="1"/>
  <c r="K90" i="1"/>
  <c r="L83" i="1"/>
  <c r="D71" i="1"/>
  <c r="D73" i="1" s="1"/>
  <c r="L79" i="1" s="1"/>
  <c r="N83" i="1"/>
  <c r="F71" i="1"/>
  <c r="F73" i="1" s="1"/>
  <c r="N79" i="1" s="1"/>
  <c r="C25" i="1"/>
  <c r="E21" i="1"/>
  <c r="E16" i="1"/>
  <c r="E15" i="1"/>
  <c r="G21" i="1"/>
  <c r="G16" i="1"/>
  <c r="G15" i="1"/>
  <c r="C14" i="1"/>
  <c r="G14" i="1"/>
  <c r="M14" i="1"/>
  <c r="F15" i="1"/>
  <c r="F16" i="1"/>
  <c r="D25" i="1"/>
  <c r="D32" i="1" s="1"/>
  <c r="D36" i="1" s="1"/>
  <c r="K66" i="1"/>
  <c r="K91" i="1"/>
  <c r="M66" i="1"/>
  <c r="M68" i="1"/>
  <c r="M91" i="1"/>
  <c r="O66" i="1"/>
  <c r="L69" i="1"/>
  <c r="L70" i="1" s="1"/>
  <c r="O68" i="1"/>
  <c r="O80" i="1" s="1"/>
  <c r="N70" i="1"/>
  <c r="M90" i="1"/>
  <c r="L75" i="1"/>
  <c r="L78" i="1" s="1"/>
  <c r="N75" i="1"/>
  <c r="N78" i="1" s="1"/>
  <c r="K83" i="1"/>
  <c r="C71" i="1"/>
  <c r="C73" i="1" s="1"/>
  <c r="K79" i="1" s="1"/>
  <c r="M83" i="1"/>
  <c r="E71" i="1"/>
  <c r="E73" i="1" s="1"/>
  <c r="M79" i="1" s="1"/>
  <c r="G73" i="1"/>
  <c r="O79" i="1" s="1"/>
  <c r="L14" i="1"/>
  <c r="N14" i="1"/>
  <c r="L91" i="1"/>
  <c r="D60" i="1"/>
  <c r="E55" i="1" s="1"/>
  <c r="E60" i="1" s="1"/>
  <c r="F55" i="1" s="1"/>
  <c r="F60" i="1" s="1"/>
  <c r="G55" i="1" s="1"/>
  <c r="L68" i="1"/>
  <c r="N68" i="1"/>
  <c r="M80" i="1" l="1"/>
  <c r="N80" i="1"/>
  <c r="D31" i="1"/>
  <c r="H25" i="1"/>
  <c r="L81" i="1"/>
  <c r="D45" i="1"/>
  <c r="D37" i="1"/>
  <c r="G23" i="1"/>
  <c r="G25" i="1" s="1"/>
  <c r="C31" i="1"/>
  <c r="C32" i="1"/>
  <c r="C36" i="1" s="1"/>
  <c r="F39" i="1" s="1"/>
  <c r="N81" i="1"/>
  <c r="F45" i="1"/>
  <c r="F37" i="1"/>
  <c r="F31" i="1"/>
  <c r="E25" i="1"/>
  <c r="L80" i="1"/>
  <c r="H32" i="1" l="1"/>
  <c r="H36" i="1" s="1"/>
  <c r="H31" i="1"/>
  <c r="E32" i="1"/>
  <c r="E36" i="1" s="1"/>
  <c r="E31" i="1"/>
  <c r="K81" i="1"/>
  <c r="C45" i="1"/>
  <c r="F47" i="1" s="1"/>
  <c r="C37" i="1"/>
  <c r="G31" i="1"/>
  <c r="G32" i="1"/>
  <c r="G36" i="1" s="1"/>
  <c r="D38" i="1"/>
  <c r="H45" i="1" l="1"/>
  <c r="H37" i="1"/>
  <c r="D46" i="1"/>
  <c r="G45" i="1"/>
  <c r="G37" i="1"/>
  <c r="G39" i="1"/>
  <c r="G38" i="1"/>
  <c r="M81" i="1"/>
  <c r="E45" i="1"/>
  <c r="E37" i="1"/>
  <c r="E38" i="1"/>
  <c r="E39" i="1"/>
  <c r="F38" i="1"/>
  <c r="E47" i="1" l="1"/>
  <c r="E46" i="1"/>
  <c r="F46" i="1"/>
  <c r="G47" i="1"/>
  <c r="G46" i="1"/>
</calcChain>
</file>

<file path=xl/sharedStrings.xml><?xml version="1.0" encoding="utf-8"?>
<sst xmlns="http://schemas.openxmlformats.org/spreadsheetml/2006/main" count="216" uniqueCount="148">
  <si>
    <t>Aarti Pharmalabs Limited</t>
  </si>
  <si>
    <t xml:space="preserve">Consolidated Income Statement </t>
  </si>
  <si>
    <t>Consolidated Balance Sheet</t>
  </si>
  <si>
    <t>March Year Ended (INR Mn)</t>
  </si>
  <si>
    <t>FY22</t>
  </si>
  <si>
    <t>FY23</t>
  </si>
  <si>
    <t>FY24</t>
  </si>
  <si>
    <t>FY25</t>
  </si>
  <si>
    <t>FY26</t>
  </si>
  <si>
    <t xml:space="preserve">Revenue from Operations </t>
  </si>
  <si>
    <t>Share Capital</t>
  </si>
  <si>
    <t>Growth (%)</t>
  </si>
  <si>
    <t>Other Equity</t>
  </si>
  <si>
    <t xml:space="preserve">CAGR % - 3 Years </t>
  </si>
  <si>
    <t>Total Equity</t>
  </si>
  <si>
    <t>Cost of Materials Consumed</t>
  </si>
  <si>
    <t xml:space="preserve">Networth/Shareholder's Fund/Book value </t>
  </si>
  <si>
    <t>Purchases of Stock in trade</t>
  </si>
  <si>
    <t>Minority Interest/Non Controlling Interest</t>
  </si>
  <si>
    <t>Changes in Inventories of FG, SIT and WIP</t>
  </si>
  <si>
    <t>Long Term Debt</t>
  </si>
  <si>
    <t>Employee Benefit Expense</t>
  </si>
  <si>
    <t>Short Term Debt</t>
  </si>
  <si>
    <t>Other Expenses</t>
  </si>
  <si>
    <t>Total Loans</t>
  </si>
  <si>
    <t>EBITDA</t>
  </si>
  <si>
    <t>EBITDA margin (%)</t>
  </si>
  <si>
    <t>Capital Employed</t>
  </si>
  <si>
    <t>CAGR (%) - 3 Years</t>
  </si>
  <si>
    <t xml:space="preserve">Gross Block </t>
  </si>
  <si>
    <t>Other Income</t>
  </si>
  <si>
    <t>Foreign Exchange (Gain)/Loss</t>
  </si>
  <si>
    <t>Non-Current Assets:</t>
  </si>
  <si>
    <t>Depreciation</t>
  </si>
  <si>
    <t xml:space="preserve">a) Property Plant &amp; Equipment </t>
  </si>
  <si>
    <t>Finance Cost</t>
  </si>
  <si>
    <t xml:space="preserve">b) Right-of-use Assets </t>
  </si>
  <si>
    <t xml:space="preserve">PBT Before share of profit of JV, Exceptional Items &amp; Tax </t>
  </si>
  <si>
    <t>c) Capital Work in Progress</t>
  </si>
  <si>
    <t xml:space="preserve">Exceptional Items </t>
  </si>
  <si>
    <t>d) Other Intangible Assets</t>
  </si>
  <si>
    <t xml:space="preserve">PBT Before Exceptional Items &amp; Tax </t>
  </si>
  <si>
    <t>-</t>
  </si>
  <si>
    <t xml:space="preserve">e) Intangible Assets under Development </t>
  </si>
  <si>
    <t>Share of profit/(loss) of JV</t>
  </si>
  <si>
    <t xml:space="preserve">f) Goodwill on Consolidation </t>
  </si>
  <si>
    <t>PBT</t>
  </si>
  <si>
    <t>g) Financial Assets:</t>
  </si>
  <si>
    <t>Tax Expense</t>
  </si>
  <si>
    <t xml:space="preserve">i)   Investments </t>
  </si>
  <si>
    <t>a) Current</t>
  </si>
  <si>
    <t>ii) Loan</t>
  </si>
  <si>
    <t xml:space="preserve">b) Earlier </t>
  </si>
  <si>
    <t>iii) Other Financial Assets</t>
  </si>
  <si>
    <t>c) Deferred</t>
  </si>
  <si>
    <t>j) Other Non Current Assets</t>
  </si>
  <si>
    <t>Total Taxes</t>
  </si>
  <si>
    <t>Total Non Current Assets</t>
  </si>
  <si>
    <t>Effective tax rate (%)</t>
  </si>
  <si>
    <t>PAT</t>
  </si>
  <si>
    <t>Current Assets:</t>
  </si>
  <si>
    <t>PBT from Discontinuing Operations</t>
  </si>
  <si>
    <t xml:space="preserve">a) Inventories </t>
  </si>
  <si>
    <t>Tax</t>
  </si>
  <si>
    <t>b) Financial Assets</t>
  </si>
  <si>
    <t>PAT from Discontinuing Operations</t>
  </si>
  <si>
    <t xml:space="preserve">i)  Investments </t>
  </si>
  <si>
    <t>Net Profit for the Year</t>
  </si>
  <si>
    <t>ii) Trade Recievables</t>
  </si>
  <si>
    <t>PAT margin (%)</t>
  </si>
  <si>
    <t xml:space="preserve">iii)Cash &amp; Cash Equivalents </t>
  </si>
  <si>
    <t xml:space="preserve">iv)Bank Balances other than (iii) above </t>
  </si>
  <si>
    <t>v) Loans</t>
  </si>
  <si>
    <t>Other Comprehensive Income:</t>
  </si>
  <si>
    <t>vi)Other Financial Assets</t>
  </si>
  <si>
    <t>a) Items that will be reclassified to P&amp;L</t>
  </si>
  <si>
    <t>c) Other Current Assets</t>
  </si>
  <si>
    <t>b) Items that may not be reclassified to P&amp;L</t>
  </si>
  <si>
    <t>d) Current Tax Asset</t>
  </si>
  <si>
    <t xml:space="preserve">Total Other Comprehensive Income </t>
  </si>
  <si>
    <t xml:space="preserve">Total Current Assets </t>
  </si>
  <si>
    <t>Non-Current Liabilities:</t>
  </si>
  <si>
    <t>Total Comprehensive Income for the Year</t>
  </si>
  <si>
    <t xml:space="preserve">a) Financial Liabilities </t>
  </si>
  <si>
    <t xml:space="preserve">i)  Borrowings </t>
  </si>
  <si>
    <t>ii) Lease Liabilities</t>
  </si>
  <si>
    <t>Earning Per Share:</t>
  </si>
  <si>
    <t xml:space="preserve">iii) Other Financial Liabilities </t>
  </si>
  <si>
    <t>Basic EPS</t>
  </si>
  <si>
    <t xml:space="preserve">b) Provisions </t>
  </si>
  <si>
    <t xml:space="preserve">Diluted EPS </t>
  </si>
  <si>
    <t>c) Deferred Tax Liabilities (Net)</t>
  </si>
  <si>
    <t xml:space="preserve">d) Other Non-current financial Liabilities </t>
  </si>
  <si>
    <t xml:space="preserve">Total Non-current Liabilities </t>
  </si>
  <si>
    <t>Current Liabilities:</t>
  </si>
  <si>
    <t>CASH FLOW STATEMENT (INR Mn)</t>
  </si>
  <si>
    <t>Cash and Cash Equivalents at Beginning of the year:</t>
  </si>
  <si>
    <t>Cash Flow From Operating Activities</t>
  </si>
  <si>
    <t>Cash Flow from Investing Activities</t>
  </si>
  <si>
    <t>iii) Trade Payables</t>
  </si>
  <si>
    <t>Cash Flow From Financing Activities</t>
  </si>
  <si>
    <t>Micro and small enterprise</t>
  </si>
  <si>
    <t>Net in Cash and Cash Equivalent</t>
  </si>
  <si>
    <t>Other</t>
  </si>
  <si>
    <t>Cash and Cash Equivalents at End of the year</t>
  </si>
  <si>
    <t>iii)Other Financial Liabilities</t>
  </si>
  <si>
    <t xml:space="preserve">b) Other Current Liabilities </t>
  </si>
  <si>
    <t>Free Cash Flow (INR MN)</t>
  </si>
  <si>
    <t>c) Provisions</t>
  </si>
  <si>
    <t xml:space="preserve">Operating Cash Inflow </t>
  </si>
  <si>
    <t>d) current Tax Liabilities (Net)</t>
  </si>
  <si>
    <t>Capital Expenditure</t>
  </si>
  <si>
    <t xml:space="preserve">Total Current Liabilities </t>
  </si>
  <si>
    <t>FCFF</t>
  </si>
  <si>
    <t xml:space="preserve">Net Current Assets </t>
  </si>
  <si>
    <t>INR MN</t>
  </si>
  <si>
    <t>No. of Shares</t>
  </si>
  <si>
    <t xml:space="preserve">Total Assets </t>
  </si>
  <si>
    <t>Face Value per share</t>
  </si>
  <si>
    <t xml:space="preserve">Total Liabilities  </t>
  </si>
  <si>
    <t>Market Cap</t>
  </si>
  <si>
    <t>Total Liabilities &amp; Equity</t>
  </si>
  <si>
    <t>Total Debt</t>
  </si>
  <si>
    <t>Cash &amp; cash equivalent and other bank balance</t>
  </si>
  <si>
    <t>Ratios</t>
  </si>
  <si>
    <t>Enterprise Value</t>
  </si>
  <si>
    <t>CMP (As per Stock Price at BSE) (₹)</t>
  </si>
  <si>
    <t>EPS (₹)</t>
  </si>
  <si>
    <t>BVPS (₹)</t>
  </si>
  <si>
    <t>DPS (₹)</t>
  </si>
  <si>
    <t>P/E (x)</t>
  </si>
  <si>
    <t>P/BV (x)</t>
  </si>
  <si>
    <t>EV/EBIDTA (x)</t>
  </si>
  <si>
    <t>Asset Tunover</t>
  </si>
  <si>
    <t>RoE (%)</t>
  </si>
  <si>
    <t>RoCE (%)</t>
  </si>
  <si>
    <t>Gross D/E(x)</t>
  </si>
  <si>
    <t xml:space="preserve">  </t>
  </si>
  <si>
    <t>Net D/E (x)</t>
  </si>
  <si>
    <t>Dividend Yield</t>
  </si>
  <si>
    <t>Interest Coverage</t>
  </si>
  <si>
    <t>Debtor Days</t>
  </si>
  <si>
    <t>Creditor Days</t>
  </si>
  <si>
    <t>Inventory Days</t>
  </si>
  <si>
    <t>Cash Conversion cycle</t>
  </si>
  <si>
    <t>Working Capital Days</t>
  </si>
  <si>
    <t>NA</t>
  </si>
  <si>
    <t>H1-FY27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</si>
</sst>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(* #,##0.00_);_(* \(#,##0.00\);_(* \-??_);_(@_)"/>
    <numFmt numFmtId="165" formatCode="_ * #,##0.00_ ;_ * \-#,##0.00_ ;_ * \-??_ ;_ @_ "/>
    <numFmt numFmtId="166" formatCode="0.0"/>
    <numFmt numFmtId="167" formatCode="_ * #,##0.0_ ;_ * \-#,##0.0_ ;_ * \-??_ ;_ @_ "/>
    <numFmt numFmtId="168" formatCode="_ * #,##0.0_ ;_ * \-#,##0.0_ ;_ * \-?_ ;_ @_ "/>
    <numFmt numFmtId="169" formatCode="#,##0.0_ ;\-#,##0.0\ "/>
    <numFmt numFmtId="170" formatCode="_ * #,##0_ ;_ * \-#,##0_ ;_ * \-??_ ;_ @_ "/>
    <numFmt numFmtId="171" formatCode="0.0%"/>
  </numFmts>
  <fonts count="13">
    <font>
      <sz val="11"/>
      <color theme="1"/>
      <name val="Calibri"/>
      <family val="2"/>
      <charset val="1"/>
    </font>
    <font>
      <b/>
      <sz val="16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11"/>
      <name val="Calibri"/>
      <family val="2"/>
      <charset val="1"/>
    </font>
    <font>
      <i/>
      <sz val="11"/>
      <color theme="8" tint="-0.249977111117893"/>
      <name val="Calibri"/>
      <family val="2"/>
      <charset val="1"/>
    </font>
    <font>
      <i/>
      <sz val="11"/>
      <color theme="1"/>
      <name val="Calibri"/>
      <family val="2"/>
      <charset val="1"/>
    </font>
    <font>
      <sz val="11"/>
      <name val="Calibri"/>
      <family val="2"/>
      <charset val="1"/>
    </font>
    <font>
      <i/>
      <sz val="11"/>
      <color rgb="FF0070C0"/>
      <name val="Calibri"/>
      <family val="2"/>
      <charset val="1"/>
    </font>
    <font>
      <i/>
      <sz val="11"/>
      <name val="Calibri"/>
      <family val="2"/>
      <charset val="1"/>
    </font>
    <font>
      <b/>
      <i/>
      <sz val="11"/>
      <color theme="1"/>
      <name val="Calibri"/>
      <family val="2"/>
      <charset val="1"/>
    </font>
    <font>
      <sz val="10"/>
      <color rgb="FF000000"/>
      <name val="MyFirstFont"/>
      <charset val="1"/>
    </font>
    <font>
      <sz val="11"/>
      <color theme="1"/>
      <name val="Calibri"/>
      <family val="2"/>
      <charset val="1"/>
    </font>
    <font>
      <sz val="10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rgb="FFDAE3F3"/>
      </patternFill>
    </fill>
    <fill>
      <patternFill patternType="solid">
        <fgColor theme="7" tint="0.39988402966399123"/>
        <bgColor rgb="FFFFFF99"/>
      </patternFill>
    </fill>
    <fill>
      <patternFill patternType="solid">
        <fgColor theme="4" tint="0.59987182226020086"/>
        <bgColor rgb="FF99CCFF"/>
      </patternFill>
    </fill>
    <fill>
      <patternFill patternType="solid">
        <fgColor theme="4" tint="0.79989013336588644"/>
        <bgColor rgb="FFD9D9D9"/>
      </patternFill>
    </fill>
    <fill>
      <patternFill patternType="solid">
        <fgColor theme="6" tint="0.79989013336588644"/>
        <bgColor rgb="FFDAE3F3"/>
      </patternFill>
    </fill>
    <fill>
      <patternFill patternType="solid">
        <fgColor theme="0"/>
        <bgColor rgb="FFEDEDED"/>
      </patternFill>
    </fill>
    <fill>
      <patternFill patternType="solid">
        <fgColor theme="0"/>
        <bgColor rgb="FFFFFF99"/>
      </patternFill>
    </fill>
    <fill>
      <patternFill patternType="solid">
        <fgColor theme="0"/>
        <bgColor rgb="FF99CCFF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AE3F3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164" fontId="11" fillId="0" borderId="0"/>
    <xf numFmtId="9" fontId="11" fillId="0" borderId="0"/>
  </cellStyleXfs>
  <cellXfs count="114">
    <xf numFmtId="0" fontId="0" fillId="0" borderId="0" xfId="0"/>
    <xf numFmtId="0" fontId="0" fillId="2" borderId="0" xfId="0" applyFill="1"/>
    <xf numFmtId="0" fontId="2" fillId="3" borderId="3" xfId="0" applyFont="1" applyFill="1" applyBorder="1"/>
    <xf numFmtId="0" fontId="0" fillId="3" borderId="3" xfId="0" applyFill="1" applyBorder="1"/>
    <xf numFmtId="0" fontId="2" fillId="4" borderId="3" xfId="0" applyFont="1" applyFill="1" applyBorder="1"/>
    <xf numFmtId="165" fontId="2" fillId="4" borderId="3" xfId="1" applyNumberFormat="1" applyFont="1" applyFill="1" applyBorder="1"/>
    <xf numFmtId="165" fontId="3" fillId="4" borderId="3" xfId="1" applyNumberFormat="1" applyFont="1" applyFill="1" applyBorder="1"/>
    <xf numFmtId="0" fontId="0" fillId="0" borderId="3" xfId="0" applyBorder="1"/>
    <xf numFmtId="166" fontId="0" fillId="0" borderId="3" xfId="0" applyNumberFormat="1" applyBorder="1"/>
    <xf numFmtId="0" fontId="4" fillId="5" borderId="3" xfId="0" applyFont="1" applyFill="1" applyBorder="1"/>
    <xf numFmtId="10" fontId="5" fillId="5" borderId="3" xfId="0" applyNumberFormat="1" applyFont="1" applyFill="1" applyBorder="1" applyAlignment="1">
      <alignment horizontal="right"/>
    </xf>
    <xf numFmtId="165" fontId="0" fillId="0" borderId="3" xfId="1" applyNumberFormat="1" applyFont="1" applyBorder="1"/>
    <xf numFmtId="10" fontId="5" fillId="5" borderId="3" xfId="0" applyNumberFormat="1" applyFont="1" applyFill="1" applyBorder="1"/>
    <xf numFmtId="166" fontId="2" fillId="4" borderId="3" xfId="0" applyNumberFormat="1" applyFont="1" applyFill="1" applyBorder="1"/>
    <xf numFmtId="166" fontId="0" fillId="0" borderId="0" xfId="0" applyNumberFormat="1"/>
    <xf numFmtId="0" fontId="0" fillId="0" borderId="3" xfId="0" applyBorder="1" applyAlignment="1">
      <alignment horizontal="left"/>
    </xf>
    <xf numFmtId="166" fontId="6" fillId="0" borderId="3" xfId="0" applyNumberFormat="1" applyFont="1" applyBorder="1"/>
    <xf numFmtId="165" fontId="0" fillId="0" borderId="3" xfId="0" applyNumberFormat="1" applyBorder="1" applyAlignment="1">
      <alignment horizontal="center" vertical="center"/>
    </xf>
    <xf numFmtId="165" fontId="6" fillId="0" borderId="3" xfId="1" applyNumberFormat="1" applyFont="1" applyBorder="1" applyAlignment="1">
      <alignment horizontal="right"/>
    </xf>
    <xf numFmtId="10" fontId="0" fillId="0" borderId="0" xfId="0" applyNumberFormat="1"/>
    <xf numFmtId="166" fontId="3" fillId="4" borderId="3" xfId="0" applyNumberFormat="1" applyFont="1" applyFill="1" applyBorder="1"/>
    <xf numFmtId="0" fontId="7" fillId="5" borderId="3" xfId="0" applyFont="1" applyFill="1" applyBorder="1"/>
    <xf numFmtId="166" fontId="0" fillId="4" borderId="3" xfId="0" applyNumberFormat="1" applyFill="1" applyBorder="1"/>
    <xf numFmtId="165" fontId="0" fillId="0" borderId="3" xfId="1" applyNumberFormat="1" applyFont="1" applyBorder="1" applyAlignment="1">
      <alignment horizontal="right"/>
    </xf>
    <xf numFmtId="0" fontId="2" fillId="0" borderId="3" xfId="0" applyFont="1" applyBorder="1"/>
    <xf numFmtId="167" fontId="3" fillId="4" borderId="3" xfId="1" applyNumberFormat="1" applyFont="1" applyFill="1" applyBorder="1"/>
    <xf numFmtId="165" fontId="0" fillId="0" borderId="3" xfId="0" applyNumberFormat="1" applyBorder="1"/>
    <xf numFmtId="165" fontId="6" fillId="0" borderId="3" xfId="0" applyNumberFormat="1" applyFont="1" applyBorder="1"/>
    <xf numFmtId="167" fontId="6" fillId="0" borderId="3" xfId="0" applyNumberFormat="1" applyFont="1" applyBorder="1"/>
    <xf numFmtId="166" fontId="2" fillId="4" borderId="3" xfId="0" applyNumberFormat="1" applyFont="1" applyFill="1" applyBorder="1" applyAlignment="1">
      <alignment horizontal="center"/>
    </xf>
    <xf numFmtId="166" fontId="3" fillId="4" borderId="3" xfId="0" applyNumberFormat="1" applyFont="1" applyFill="1" applyBorder="1" applyAlignment="1">
      <alignment horizontal="center"/>
    </xf>
    <xf numFmtId="166" fontId="0" fillId="0" borderId="3" xfId="0" applyNumberFormat="1" applyBorder="1" applyAlignment="1">
      <alignment horizontal="center"/>
    </xf>
    <xf numFmtId="165" fontId="6" fillId="0" borderId="3" xfId="0" applyNumberFormat="1" applyFont="1" applyBorder="1" applyAlignment="1">
      <alignment horizontal="center" vertical="center"/>
    </xf>
    <xf numFmtId="10" fontId="8" fillId="5" borderId="3" xfId="0" applyNumberFormat="1" applyFont="1" applyFill="1" applyBorder="1" applyAlignment="1">
      <alignment horizontal="right"/>
    </xf>
    <xf numFmtId="0" fontId="0" fillId="6" borderId="3" xfId="0" applyFill="1" applyBorder="1"/>
    <xf numFmtId="0" fontId="0" fillId="4" borderId="3" xfId="0" applyFill="1" applyBorder="1"/>
    <xf numFmtId="165" fontId="0" fillId="4" borderId="3" xfId="1" applyNumberFormat="1" applyFont="1" applyFill="1" applyBorder="1"/>
    <xf numFmtId="165" fontId="6" fillId="4" borderId="3" xfId="1" applyNumberFormat="1" applyFont="1" applyFill="1" applyBorder="1"/>
    <xf numFmtId="165" fontId="0" fillId="0" borderId="3" xfId="0" applyNumberFormat="1" applyBorder="1" applyAlignment="1">
      <alignment horizontal="right"/>
    </xf>
    <xf numFmtId="167" fontId="6" fillId="0" borderId="3" xfId="1" applyNumberFormat="1" applyFont="1" applyBorder="1" applyAlignment="1">
      <alignment horizontal="right" indent="2"/>
    </xf>
    <xf numFmtId="0" fontId="6" fillId="0" borderId="3" xfId="0" applyFont="1" applyBorder="1"/>
    <xf numFmtId="2" fontId="3" fillId="4" borderId="3" xfId="0" applyNumberFormat="1" applyFont="1" applyFill="1" applyBorder="1"/>
    <xf numFmtId="168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left" indent="1"/>
    </xf>
    <xf numFmtId="2" fontId="0" fillId="0" borderId="3" xfId="0" applyNumberFormat="1" applyBorder="1"/>
    <xf numFmtId="2" fontId="6" fillId="0" borderId="3" xfId="0" applyNumberFormat="1" applyFont="1" applyBorder="1"/>
    <xf numFmtId="166" fontId="6" fillId="0" borderId="0" xfId="0" applyNumberFormat="1" applyFont="1"/>
    <xf numFmtId="0" fontId="0" fillId="3" borderId="3" xfId="0" applyFill="1" applyBorder="1" applyAlignment="1">
      <alignment horizontal="center"/>
    </xf>
    <xf numFmtId="169" fontId="0" fillId="0" borderId="3" xfId="1" applyNumberFormat="1" applyFont="1" applyBorder="1"/>
    <xf numFmtId="165" fontId="2" fillId="0" borderId="3" xfId="1" applyNumberFormat="1" applyFont="1" applyBorder="1"/>
    <xf numFmtId="0" fontId="9" fillId="5" borderId="3" xfId="0" applyFont="1" applyFill="1" applyBorder="1"/>
    <xf numFmtId="169" fontId="9" fillId="5" borderId="3" xfId="1" applyNumberFormat="1" applyFont="1" applyFill="1" applyBorder="1"/>
    <xf numFmtId="0" fontId="2" fillId="4" borderId="3" xfId="0" applyFont="1" applyFill="1" applyBorder="1" applyAlignment="1">
      <alignment horizontal="left" vertical="center"/>
    </xf>
    <xf numFmtId="169" fontId="2" fillId="4" borderId="3" xfId="1" applyNumberFormat="1" applyFont="1" applyFill="1" applyBorder="1"/>
    <xf numFmtId="9" fontId="0" fillId="3" borderId="3" xfId="2" applyFont="1" applyFill="1" applyBorder="1" applyAlignment="1">
      <alignment horizontal="center"/>
    </xf>
    <xf numFmtId="166" fontId="0" fillId="0" borderId="3" xfId="1" applyNumberFormat="1" applyFont="1" applyBorder="1"/>
    <xf numFmtId="0" fontId="0" fillId="7" borderId="3" xfId="0" applyFill="1" applyBorder="1"/>
    <xf numFmtId="166" fontId="2" fillId="4" borderId="3" xfId="1" applyNumberFormat="1" applyFont="1" applyFill="1" applyBorder="1"/>
    <xf numFmtId="0" fontId="6" fillId="0" borderId="0" xfId="0" applyFont="1"/>
    <xf numFmtId="0" fontId="6" fillId="3" borderId="3" xfId="0" applyFont="1" applyFill="1" applyBorder="1" applyAlignment="1">
      <alignment horizontal="center"/>
    </xf>
    <xf numFmtId="3" fontId="10" fillId="0" borderId="3" xfId="0" applyNumberFormat="1" applyFont="1" applyBorder="1"/>
    <xf numFmtId="170" fontId="0" fillId="0" borderId="3" xfId="1" applyNumberFormat="1" applyFont="1" applyBorder="1"/>
    <xf numFmtId="165" fontId="0" fillId="0" borderId="3" xfId="1" applyNumberFormat="1" applyFont="1" applyBorder="1" applyAlignment="1">
      <alignment wrapText="1"/>
    </xf>
    <xf numFmtId="170" fontId="2" fillId="4" borderId="3" xfId="1" applyNumberFormat="1" applyFont="1" applyFill="1" applyBorder="1"/>
    <xf numFmtId="165" fontId="0" fillId="0" borderId="3" xfId="1" applyNumberFormat="1" applyFont="1" applyBorder="1" applyAlignment="1">
      <alignment horizontal="center"/>
    </xf>
    <xf numFmtId="171" fontId="0" fillId="0" borderId="3" xfId="2" applyNumberFormat="1" applyFont="1" applyBorder="1"/>
    <xf numFmtId="171" fontId="0" fillId="0" borderId="3" xfId="2" applyNumberFormat="1" applyFont="1" applyBorder="1" applyAlignment="1">
      <alignment horizontal="right"/>
    </xf>
    <xf numFmtId="10" fontId="0" fillId="0" borderId="3" xfId="2" applyNumberFormat="1" applyFont="1" applyBorder="1"/>
    <xf numFmtId="2" fontId="0" fillId="0" borderId="3" xfId="2" applyNumberFormat="1" applyFont="1" applyBorder="1" applyAlignment="1">
      <alignment horizontal="right"/>
    </xf>
    <xf numFmtId="170" fontId="0" fillId="0" borderId="3" xfId="1" applyNumberFormat="1" applyFont="1" applyBorder="1" applyAlignment="1">
      <alignment horizontal="right"/>
    </xf>
    <xf numFmtId="165" fontId="0" fillId="0" borderId="0" xfId="1" applyNumberFormat="1" applyFont="1"/>
    <xf numFmtId="165" fontId="0" fillId="0" borderId="0" xfId="1" applyNumberFormat="1" applyFont="1" applyAlignment="1">
      <alignment horizontal="right"/>
    </xf>
    <xf numFmtId="9" fontId="0" fillId="0" borderId="0" xfId="2" applyFont="1"/>
    <xf numFmtId="2" fontId="0" fillId="0" borderId="0" xfId="0" applyNumberFormat="1"/>
    <xf numFmtId="0" fontId="0" fillId="12" borderId="0" xfId="0" applyFill="1"/>
    <xf numFmtId="165" fontId="3" fillId="4" borderId="4" xfId="0" applyNumberFormat="1" applyFont="1" applyFill="1" applyBorder="1"/>
    <xf numFmtId="10" fontId="5" fillId="5" borderId="4" xfId="0" applyNumberFormat="1" applyFont="1" applyFill="1" applyBorder="1" applyAlignment="1">
      <alignment horizontal="right"/>
    </xf>
    <xf numFmtId="166" fontId="6" fillId="0" borderId="4" xfId="0" applyNumberFormat="1" applyFont="1" applyBorder="1"/>
    <xf numFmtId="165" fontId="6" fillId="0" borderId="4" xfId="0" applyNumberFormat="1" applyFont="1" applyBorder="1" applyAlignment="1">
      <alignment horizontal="right"/>
    </xf>
    <xf numFmtId="166" fontId="3" fillId="4" borderId="4" xfId="0" applyNumberFormat="1" applyFont="1" applyFill="1" applyBorder="1"/>
    <xf numFmtId="167" fontId="3" fillId="4" borderId="4" xfId="0" applyNumberFormat="1" applyFont="1" applyFill="1" applyBorder="1"/>
    <xf numFmtId="167" fontId="6" fillId="0" borderId="4" xfId="0" applyNumberFormat="1" applyFont="1" applyBorder="1"/>
    <xf numFmtId="166" fontId="2" fillId="4" borderId="4" xfId="0" applyNumberFormat="1" applyFont="1" applyFill="1" applyBorder="1"/>
    <xf numFmtId="165" fontId="6" fillId="0" borderId="4" xfId="0" applyNumberFormat="1" applyFont="1" applyBorder="1" applyAlignment="1">
      <alignment horizontal="center" vertical="center"/>
    </xf>
    <xf numFmtId="10" fontId="8" fillId="5" borderId="4" xfId="0" applyNumberFormat="1" applyFont="1" applyFill="1" applyBorder="1" applyAlignment="1">
      <alignment horizontal="right"/>
    </xf>
    <xf numFmtId="165" fontId="6" fillId="4" borderId="4" xfId="0" applyNumberFormat="1" applyFont="1" applyFill="1" applyBorder="1"/>
    <xf numFmtId="167" fontId="6" fillId="0" borderId="4" xfId="0" applyNumberFormat="1" applyFont="1" applyBorder="1" applyAlignment="1">
      <alignment horizontal="right" indent="2"/>
    </xf>
    <xf numFmtId="2" fontId="3" fillId="4" borderId="4" xfId="0" applyNumberFormat="1" applyFont="1" applyFill="1" applyBorder="1"/>
    <xf numFmtId="2" fontId="6" fillId="0" borderId="4" xfId="0" applyNumberFormat="1" applyFont="1" applyBorder="1"/>
    <xf numFmtId="0" fontId="2" fillId="3" borderId="5" xfId="0" applyFont="1" applyFill="1" applyBorder="1"/>
    <xf numFmtId="0" fontId="0" fillId="0" borderId="5" xfId="0" applyBorder="1"/>
    <xf numFmtId="0" fontId="2" fillId="4" borderId="5" xfId="0" applyFont="1" applyFill="1" applyBorder="1"/>
    <xf numFmtId="0" fontId="2" fillId="0" borderId="5" xfId="0" applyFont="1" applyBorder="1"/>
    <xf numFmtId="0" fontId="0" fillId="8" borderId="0" xfId="0" applyFill="1"/>
    <xf numFmtId="165" fontId="3" fillId="9" borderId="0" xfId="0" applyNumberFormat="1" applyFont="1" applyFill="1"/>
    <xf numFmtId="10" fontId="5" fillId="10" borderId="0" xfId="0" applyNumberFormat="1" applyFont="1" applyFill="1" applyAlignment="1">
      <alignment horizontal="right"/>
    </xf>
    <xf numFmtId="166" fontId="6" fillId="11" borderId="0" xfId="0" applyNumberFormat="1" applyFont="1" applyFill="1"/>
    <xf numFmtId="165" fontId="6" fillId="11" borderId="0" xfId="0" applyNumberFormat="1" applyFont="1" applyFill="1" applyAlignment="1">
      <alignment horizontal="right"/>
    </xf>
    <xf numFmtId="166" fontId="3" fillId="9" borderId="0" xfId="0" applyNumberFormat="1" applyFont="1" applyFill="1"/>
    <xf numFmtId="167" fontId="3" fillId="9" borderId="0" xfId="0" applyNumberFormat="1" applyFont="1" applyFill="1"/>
    <xf numFmtId="167" fontId="6" fillId="11" borderId="0" xfId="0" applyNumberFormat="1" applyFont="1" applyFill="1"/>
    <xf numFmtId="166" fontId="2" fillId="9" borderId="0" xfId="0" applyNumberFormat="1" applyFont="1" applyFill="1"/>
    <xf numFmtId="165" fontId="6" fillId="11" borderId="0" xfId="0" applyNumberFormat="1" applyFont="1" applyFill="1" applyAlignment="1">
      <alignment horizontal="center" vertical="center"/>
    </xf>
    <xf numFmtId="10" fontId="8" fillId="10" borderId="0" xfId="0" applyNumberFormat="1" applyFont="1" applyFill="1" applyAlignment="1">
      <alignment horizontal="right"/>
    </xf>
    <xf numFmtId="165" fontId="6" fillId="9" borderId="0" xfId="0" applyNumberFormat="1" applyFont="1" applyFill="1"/>
    <xf numFmtId="167" fontId="6" fillId="11" borderId="0" xfId="0" applyNumberFormat="1" applyFont="1" applyFill="1" applyAlignment="1">
      <alignment horizontal="right" indent="2"/>
    </xf>
    <xf numFmtId="2" fontId="3" fillId="9" borderId="0" xfId="0" applyNumberFormat="1" applyFont="1" applyFill="1"/>
    <xf numFmtId="2" fontId="6" fillId="11" borderId="0" xfId="0" applyNumberFormat="1" applyFont="1" applyFill="1"/>
    <xf numFmtId="3" fontId="12" fillId="0" borderId="3" xfId="0" applyNumberFormat="1" applyFont="1" applyBorder="1"/>
    <xf numFmtId="43" fontId="0" fillId="0" borderId="0" xfId="0" applyNumberFormat="1"/>
    <xf numFmtId="2" fontId="0" fillId="0" borderId="6" xfId="2" applyNumberFormat="1" applyFont="1" applyBorder="1"/>
    <xf numFmtId="0" fontId="1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EDEDED"/>
      <rgbColor rgb="FFDAE3F3"/>
      <rgbColor rgb="FF660066"/>
      <rgbColor rgb="FFFF8080"/>
      <rgbColor rgb="FF0070C0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966"/>
      <rgbColor rgb="FF2E75B6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113"/>
  <sheetViews>
    <sheetView tabSelected="1" topLeftCell="E1" zoomScale="110" zoomScaleNormal="110" workbookViewId="0">
      <pane ySplit="4" topLeftCell="A65" activePane="bottomLeft" state="frozen"/>
      <selection pane="bottomLeft" activeCell="J17" sqref="J17"/>
    </sheetView>
  </sheetViews>
  <sheetFormatPr defaultColWidth="8.7109375" defaultRowHeight="15"/>
  <cols>
    <col min="2" max="2" width="50.7109375" customWidth="1"/>
    <col min="3" max="3" width="13.85546875" customWidth="1"/>
    <col min="4" max="4" width="14.28515625" customWidth="1"/>
    <col min="5" max="6" width="13.85546875" customWidth="1"/>
    <col min="7" max="7" width="12.7109375" customWidth="1"/>
    <col min="8" max="9" width="13" customWidth="1"/>
    <col min="10" max="10" width="50.7109375" customWidth="1"/>
    <col min="11" max="11" width="14.5703125" customWidth="1"/>
    <col min="12" max="12" width="14.28515625" customWidth="1"/>
    <col min="13" max="13" width="14.5703125" customWidth="1"/>
    <col min="14" max="14" width="14.28515625" customWidth="1"/>
    <col min="15" max="16" width="14.5703125" customWidth="1"/>
  </cols>
  <sheetData>
    <row r="2" spans="1:16" ht="19.5" customHeight="1">
      <c r="B2" s="111" t="s">
        <v>0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6" ht="14.25" customHeight="1">
      <c r="B3" s="112" t="s">
        <v>1</v>
      </c>
      <c r="C3" s="112"/>
      <c r="D3" s="112"/>
      <c r="E3" s="112"/>
      <c r="F3" s="112"/>
      <c r="G3" s="112"/>
      <c r="H3" s="74"/>
      <c r="I3" s="74"/>
      <c r="J3" s="113" t="s">
        <v>2</v>
      </c>
      <c r="K3" s="113"/>
      <c r="L3" s="113"/>
      <c r="M3" s="113"/>
      <c r="N3" s="113"/>
    </row>
    <row r="4" spans="1:16">
      <c r="B4" s="2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47" t="s">
        <v>147</v>
      </c>
      <c r="I4" s="93"/>
      <c r="J4" s="89" t="s">
        <v>3</v>
      </c>
      <c r="K4" s="3" t="s">
        <v>4</v>
      </c>
      <c r="L4" s="3" t="s">
        <v>5</v>
      </c>
      <c r="M4" s="3" t="s">
        <v>6</v>
      </c>
      <c r="N4" s="3" t="s">
        <v>7</v>
      </c>
      <c r="O4" s="3" t="s">
        <v>8</v>
      </c>
      <c r="P4" s="3" t="s">
        <v>147</v>
      </c>
    </row>
    <row r="5" spans="1:16">
      <c r="B5" s="4" t="s">
        <v>9</v>
      </c>
      <c r="C5" s="5">
        <v>11999.4</v>
      </c>
      <c r="D5" s="5">
        <v>19452.3</v>
      </c>
      <c r="E5" s="5">
        <v>18526.099999999999</v>
      </c>
      <c r="F5" s="6">
        <v>21150.744999999999</v>
      </c>
      <c r="G5" s="6">
        <v>18194.424999999999</v>
      </c>
      <c r="H5" s="75">
        <v>11462.478999999999</v>
      </c>
      <c r="I5" s="94"/>
      <c r="J5" s="90" t="s">
        <v>10</v>
      </c>
      <c r="K5" s="8">
        <v>455.6</v>
      </c>
      <c r="L5" s="8">
        <v>453.1</v>
      </c>
      <c r="M5" s="8">
        <v>453.1</v>
      </c>
      <c r="N5" s="8">
        <v>453.173</v>
      </c>
      <c r="O5" s="8">
        <v>453.28899999999999</v>
      </c>
      <c r="P5" s="8">
        <v>453.399</v>
      </c>
    </row>
    <row r="6" spans="1:16">
      <c r="B6" s="9" t="s">
        <v>11</v>
      </c>
      <c r="C6" s="10"/>
      <c r="D6" s="10">
        <f>IF(D5/C5-1&gt;100%,"N.A.",IF(D5/C5-1&lt;-100%,"N.A.",(D5/C5-1)))</f>
        <v>0.62110605530276519</v>
      </c>
      <c r="E6" s="10">
        <f>IF(E5/D5-1&gt;100%,"N.A.",IF(E5/D5-1&lt;-100%,"N.A.",(E5/D5-1)))</f>
        <v>-4.7613906838780085E-2</v>
      </c>
      <c r="F6" s="10">
        <f>IF(F5/E5-1&gt;100%,"N.A.",IF(F5/E5-1&lt;-100%,"N.A.",(F5/E5-1)))</f>
        <v>0.14167282914374857</v>
      </c>
      <c r="G6" s="10">
        <f>IF(G5/F5-1&gt;100%,"N.A.",IF(G5/F5-1&lt;-100%,"N.A.",(G5/F5-1)))</f>
        <v>-0.13977379992997885</v>
      </c>
      <c r="H6" s="76" t="s">
        <v>146</v>
      </c>
      <c r="I6" s="95"/>
      <c r="J6" s="90" t="s">
        <v>12</v>
      </c>
      <c r="K6" s="11">
        <v>13409.2</v>
      </c>
      <c r="L6" s="11">
        <v>15131.7</v>
      </c>
      <c r="M6" s="11">
        <v>17117.3</v>
      </c>
      <c r="N6" s="11">
        <v>19445.891</v>
      </c>
      <c r="O6" s="11">
        <v>20792.758000000002</v>
      </c>
      <c r="P6" s="11">
        <v>22094.248</v>
      </c>
    </row>
    <row r="7" spans="1:16">
      <c r="B7" s="9" t="s">
        <v>13</v>
      </c>
      <c r="C7" s="12"/>
      <c r="D7" s="10"/>
      <c r="E7" s="10">
        <f>IF((E5/C5)^(1/3)-1&lt;-100%,"N.A.",IF((E5/C5)^(1/3)-1&gt;100%,"N.A.",((E5/C5)^(1/3)-1)))</f>
        <v>0.15577906687701559</v>
      </c>
      <c r="F7" s="10">
        <f>IF((F5/C5)^(1/3)-1&lt;-100%,"N.A.",IF((F5/C5)^(1/3)-1&gt;100%,"N.A.",((F5/C5)^(1/3)-1)))</f>
        <v>0.20796786053352112</v>
      </c>
      <c r="G7" s="10">
        <f>IF((G5/D5)^(1/3)-1&lt;-100%,"N.A.",IF((G5/D5)^(1/3)-1&gt;100%,"N.A.",((G5/D5)^(1/3)-1)))</f>
        <v>-2.2036921959701083E-2</v>
      </c>
      <c r="H7" s="76" t="s">
        <v>146</v>
      </c>
      <c r="I7" s="95"/>
      <c r="J7" s="91" t="s">
        <v>14</v>
      </c>
      <c r="K7" s="13">
        <f t="shared" ref="K7:P7" si="0">SUM(K5:K6)+K9</f>
        <v>13864.800000000001</v>
      </c>
      <c r="L7" s="5">
        <f t="shared" si="0"/>
        <v>15584.800000000001</v>
      </c>
      <c r="M7" s="5">
        <f t="shared" si="0"/>
        <v>17570.399999999998</v>
      </c>
      <c r="N7" s="5">
        <f t="shared" si="0"/>
        <v>19899.063999999998</v>
      </c>
      <c r="O7" s="5">
        <f t="shared" si="0"/>
        <v>21246.047000000002</v>
      </c>
      <c r="P7" s="5">
        <f t="shared" si="0"/>
        <v>22547.647000000001</v>
      </c>
    </row>
    <row r="8" spans="1:16">
      <c r="A8" s="14"/>
      <c r="B8" s="15" t="s">
        <v>15</v>
      </c>
      <c r="C8" s="8">
        <v>6112.4</v>
      </c>
      <c r="D8" s="8">
        <v>10143</v>
      </c>
      <c r="E8" s="8">
        <v>8584.5</v>
      </c>
      <c r="F8" s="16">
        <v>8357.9789999999994</v>
      </c>
      <c r="G8" s="16">
        <v>8300.6360000000004</v>
      </c>
      <c r="H8" s="77">
        <v>5867.4610000000002</v>
      </c>
      <c r="I8" s="96"/>
      <c r="J8" s="91" t="s">
        <v>16</v>
      </c>
      <c r="K8" s="13">
        <f t="shared" ref="K8:P8" si="1">SUM(K5:K6)</f>
        <v>13864.800000000001</v>
      </c>
      <c r="L8" s="5">
        <f t="shared" si="1"/>
        <v>15584.800000000001</v>
      </c>
      <c r="M8" s="5">
        <f t="shared" si="1"/>
        <v>17570.399999999998</v>
      </c>
      <c r="N8" s="5">
        <f t="shared" si="1"/>
        <v>19899.063999999998</v>
      </c>
      <c r="O8" s="5">
        <f t="shared" si="1"/>
        <v>21246.047000000002</v>
      </c>
      <c r="P8" s="5">
        <f t="shared" si="1"/>
        <v>22547.647000000001</v>
      </c>
    </row>
    <row r="9" spans="1:16">
      <c r="B9" s="15" t="s">
        <v>17</v>
      </c>
      <c r="C9" s="8">
        <v>1629.2</v>
      </c>
      <c r="D9" s="8">
        <v>2808.2</v>
      </c>
      <c r="E9" s="8">
        <v>1822.2</v>
      </c>
      <c r="F9" s="16">
        <v>1766.347</v>
      </c>
      <c r="G9" s="16">
        <v>559.48699999999997</v>
      </c>
      <c r="H9" s="77">
        <v>459.024</v>
      </c>
      <c r="I9" s="96"/>
      <c r="J9" s="90" t="s">
        <v>18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/>
    </row>
    <row r="10" spans="1:16">
      <c r="B10" s="15" t="s">
        <v>19</v>
      </c>
      <c r="C10" s="8">
        <v>-490.5</v>
      </c>
      <c r="D10" s="8">
        <v>-1253.5999999999999</v>
      </c>
      <c r="E10" s="8">
        <v>-199.5</v>
      </c>
      <c r="F10" s="16">
        <v>642.20399999999995</v>
      </c>
      <c r="G10" s="16">
        <v>-511.79899999999998</v>
      </c>
      <c r="H10" s="77">
        <v>-971.18100000000004</v>
      </c>
      <c r="I10" s="96"/>
      <c r="J10" s="90" t="s">
        <v>20</v>
      </c>
      <c r="K10" s="8">
        <v>5.5</v>
      </c>
      <c r="L10" s="8">
        <v>1.8</v>
      </c>
      <c r="M10" s="8">
        <v>0.4</v>
      </c>
      <c r="N10" s="11">
        <v>1035.556</v>
      </c>
      <c r="O10" s="11">
        <v>1858.114</v>
      </c>
      <c r="P10" s="11">
        <v>1598.3820000000001</v>
      </c>
    </row>
    <row r="11" spans="1:16">
      <c r="B11" s="15" t="s">
        <v>21</v>
      </c>
      <c r="C11" s="8">
        <v>852</v>
      </c>
      <c r="D11" s="8">
        <v>1296.9000000000001</v>
      </c>
      <c r="E11" s="8">
        <v>1384.1</v>
      </c>
      <c r="F11" s="16">
        <v>1619.595</v>
      </c>
      <c r="G11" s="16">
        <v>1730.931</v>
      </c>
      <c r="H11" s="77">
        <v>1048.742</v>
      </c>
      <c r="I11" s="96"/>
      <c r="J11" s="90" t="s">
        <v>22</v>
      </c>
      <c r="K11" s="11">
        <v>3377.3</v>
      </c>
      <c r="L11" s="11">
        <v>2141.5</v>
      </c>
      <c r="M11" s="11">
        <v>2640.6</v>
      </c>
      <c r="N11" s="11">
        <v>2927.9670000000001</v>
      </c>
      <c r="O11" s="11">
        <v>4998.2299999999996</v>
      </c>
      <c r="P11" s="11">
        <v>6766.3620000000001</v>
      </c>
    </row>
    <row r="12" spans="1:16">
      <c r="B12" s="15" t="s">
        <v>23</v>
      </c>
      <c r="C12" s="8">
        <v>1826.8</v>
      </c>
      <c r="D12" s="8">
        <v>3037.4</v>
      </c>
      <c r="E12" s="8">
        <v>3074.4</v>
      </c>
      <c r="F12" s="16">
        <v>4120.9129999999996</v>
      </c>
      <c r="G12" s="18">
        <v>4090.9929999999999</v>
      </c>
      <c r="H12" s="78">
        <v>2385.7260000000001</v>
      </c>
      <c r="I12" s="97"/>
      <c r="J12" s="91" t="s">
        <v>24</v>
      </c>
      <c r="K12" s="13">
        <f t="shared" ref="K12:P12" si="2">SUM(K10:K11)</f>
        <v>3382.8</v>
      </c>
      <c r="L12" s="13">
        <f t="shared" si="2"/>
        <v>2143.3000000000002</v>
      </c>
      <c r="M12" s="13">
        <f t="shared" si="2"/>
        <v>2641</v>
      </c>
      <c r="N12" s="13">
        <f t="shared" si="2"/>
        <v>3963.5230000000001</v>
      </c>
      <c r="O12" s="13">
        <f t="shared" si="2"/>
        <v>6856.3439999999991</v>
      </c>
      <c r="P12" s="13">
        <f t="shared" si="2"/>
        <v>8364.7440000000006</v>
      </c>
    </row>
    <row r="13" spans="1:16">
      <c r="A13" s="19"/>
      <c r="B13" s="4" t="s">
        <v>25</v>
      </c>
      <c r="C13" s="13">
        <f t="shared" ref="C13:G13" si="3">C5-SUM(C8:C12)</f>
        <v>2069.5</v>
      </c>
      <c r="D13" s="13">
        <f t="shared" si="3"/>
        <v>3420.3999999999996</v>
      </c>
      <c r="E13" s="13">
        <f t="shared" si="3"/>
        <v>3860.3999999999978</v>
      </c>
      <c r="F13" s="20">
        <f t="shared" si="3"/>
        <v>4643.7070000000022</v>
      </c>
      <c r="G13" s="20">
        <f t="shared" si="3"/>
        <v>4024.1769999999979</v>
      </c>
      <c r="H13" s="79">
        <f>H5-SUM(H8:H12)</f>
        <v>2672.7069999999985</v>
      </c>
      <c r="I13" s="98"/>
      <c r="J13" s="90"/>
      <c r="K13" s="8"/>
      <c r="L13" s="8"/>
      <c r="M13" s="8"/>
      <c r="N13" s="8"/>
      <c r="O13" s="8"/>
      <c r="P13" s="8"/>
    </row>
    <row r="14" spans="1:16">
      <c r="B14" s="21" t="s">
        <v>26</v>
      </c>
      <c r="C14" s="10">
        <f t="shared" ref="C14:H14" si="4">IF(C13/C5&gt;100%,"N.A",IF(C13/C5&lt;-100%,"N.A.",(C13/C5)))</f>
        <v>0.1724669566811674</v>
      </c>
      <c r="D14" s="10">
        <f t="shared" si="4"/>
        <v>0.175835248273983</v>
      </c>
      <c r="E14" s="10">
        <f t="shared" si="4"/>
        <v>0.20837629074656824</v>
      </c>
      <c r="F14" s="10">
        <f t="shared" si="4"/>
        <v>0.21955288099780892</v>
      </c>
      <c r="G14" s="10">
        <f t="shared" si="4"/>
        <v>0.22117637682971558</v>
      </c>
      <c r="H14" s="76">
        <f t="shared" si="4"/>
        <v>0.2331700673126641</v>
      </c>
      <c r="I14" s="95"/>
      <c r="J14" s="91" t="s">
        <v>27</v>
      </c>
      <c r="K14" s="13">
        <f t="shared" ref="K14:P14" si="5">K8+K12</f>
        <v>17247.600000000002</v>
      </c>
      <c r="L14" s="13">
        <f t="shared" si="5"/>
        <v>17728.100000000002</v>
      </c>
      <c r="M14" s="13">
        <f t="shared" si="5"/>
        <v>20211.399999999998</v>
      </c>
      <c r="N14" s="13">
        <f t="shared" si="5"/>
        <v>23862.587</v>
      </c>
      <c r="O14" s="13">
        <f t="shared" si="5"/>
        <v>28102.391000000003</v>
      </c>
      <c r="P14" s="13">
        <f t="shared" si="5"/>
        <v>30912.391000000003</v>
      </c>
    </row>
    <row r="15" spans="1:16">
      <c r="A15" s="14">
        <f>SUM(G8:G12,G19:G20)</f>
        <v>15682.627000000002</v>
      </c>
      <c r="B15" s="21" t="s">
        <v>11</v>
      </c>
      <c r="C15" s="10"/>
      <c r="D15" s="10">
        <f>IF(D13/C13-1&gt;100%,("N.A."),IF(D13/C13-1&lt;-100%,("N.A."),(D13/C13-1)))</f>
        <v>0.65276636868808868</v>
      </c>
      <c r="E15" s="10">
        <f>IF(E13/D13-1&gt;100%,("N.A."),IF(E13/D13-1&lt;-100%,("N.A."),(E13/D13-1)))</f>
        <v>0.12863992515495215</v>
      </c>
      <c r="F15" s="10">
        <f>IF(F13/E13-1&gt;100%,("N.A."),IF(F13/E13-1&lt;-100%,("N.A."),(F13/E13-1)))</f>
        <v>0.20290824784996486</v>
      </c>
      <c r="G15" s="10">
        <f>IF(G13/F13-1&gt;100%,("N.A."),IF(G13/F13-1&lt;-100%,("N.A."),(G13/F13-1)))</f>
        <v>-0.13341281006747496</v>
      </c>
      <c r="H15" s="76" t="s">
        <v>146</v>
      </c>
      <c r="I15" s="95"/>
      <c r="J15" s="90"/>
      <c r="K15" s="8"/>
      <c r="L15" s="8"/>
      <c r="M15" s="8"/>
      <c r="N15" s="8"/>
      <c r="O15" s="8"/>
      <c r="P15" s="8"/>
    </row>
    <row r="16" spans="1:16">
      <c r="B16" s="21" t="s">
        <v>28</v>
      </c>
      <c r="C16" s="10"/>
      <c r="D16" s="10"/>
      <c r="E16" s="10">
        <f>IF((E13/C13)^(1/3)-1&lt;-100%,"N.A.",IF((E13/C13)^(1/3)-1&gt;100%,"N.A.",((E13/C13)^(1/3)-1)))</f>
        <v>0.23099311923691279</v>
      </c>
      <c r="F16" s="10">
        <f>IF((F13/C13)^(1/3)-1&lt;-100%,"N.A.",IF((F13/C13)^(1/3)-1&gt;100%,"N.A.",((F13/C13)^(1/3)-1)))</f>
        <v>0.30918129888449997</v>
      </c>
      <c r="G16" s="10">
        <f>IF((G13/D13)^(1/3)-1&lt;-100%,"N.A.",IF((G13/D13)^(1/3)-1&gt;100%,"N.A.",((G13/D13)^(1/3)-1)))</f>
        <v>5.5682669972815235E-2</v>
      </c>
      <c r="H16" s="76" t="s">
        <v>146</v>
      </c>
      <c r="I16" s="95"/>
      <c r="J16" s="91" t="s">
        <v>29</v>
      </c>
      <c r="K16" s="22"/>
      <c r="L16" s="22"/>
      <c r="M16" s="22"/>
      <c r="N16" s="22"/>
      <c r="O16" s="22"/>
      <c r="P16" s="22"/>
    </row>
    <row r="17" spans="2:16">
      <c r="B17" s="7" t="s">
        <v>30</v>
      </c>
      <c r="C17" s="8">
        <v>25.1</v>
      </c>
      <c r="D17" s="8">
        <v>23.2</v>
      </c>
      <c r="E17" s="8">
        <v>49</v>
      </c>
      <c r="F17" s="16">
        <v>84.259</v>
      </c>
      <c r="G17" s="16">
        <v>97.463999999999999</v>
      </c>
      <c r="H17" s="77">
        <v>9.1820000000000004</v>
      </c>
      <c r="I17" s="96"/>
      <c r="J17" s="90"/>
      <c r="K17" s="7"/>
      <c r="L17" s="7"/>
      <c r="M17" s="7"/>
      <c r="N17" s="7"/>
      <c r="O17" s="7"/>
      <c r="P17" s="7"/>
    </row>
    <row r="18" spans="2:16">
      <c r="B18" s="15" t="s">
        <v>31</v>
      </c>
      <c r="C18" s="23">
        <v>0</v>
      </c>
      <c r="D18" s="23">
        <v>0</v>
      </c>
      <c r="E18" s="23">
        <v>0</v>
      </c>
      <c r="F18" s="16">
        <v>-16.933</v>
      </c>
      <c r="G18" s="16">
        <v>332.084</v>
      </c>
      <c r="H18" s="77">
        <v>-39.933999999999997</v>
      </c>
      <c r="I18" s="96"/>
      <c r="J18" s="92" t="s">
        <v>32</v>
      </c>
      <c r="K18" s="8"/>
      <c r="L18" s="8"/>
      <c r="M18" s="8"/>
      <c r="N18" s="8"/>
      <c r="O18" s="8"/>
      <c r="P18" s="8"/>
    </row>
    <row r="19" spans="2:16">
      <c r="B19" s="7" t="s">
        <v>33</v>
      </c>
      <c r="C19" s="8">
        <v>421.2</v>
      </c>
      <c r="D19" s="8">
        <v>625.4</v>
      </c>
      <c r="E19" s="8">
        <v>732.4</v>
      </c>
      <c r="F19" s="16">
        <v>869.04</v>
      </c>
      <c r="G19" s="16">
        <v>1043.3510000000001</v>
      </c>
      <c r="H19" s="77">
        <v>605.54899999999998</v>
      </c>
      <c r="I19" s="96"/>
      <c r="J19" s="90" t="s">
        <v>34</v>
      </c>
      <c r="K19" s="11">
        <v>7785.4</v>
      </c>
      <c r="L19" s="11">
        <v>9227.4</v>
      </c>
      <c r="M19" s="11">
        <v>9942.2000000000007</v>
      </c>
      <c r="N19" s="11">
        <v>10886.871999999999</v>
      </c>
      <c r="O19" s="11">
        <v>13359.182000000001</v>
      </c>
      <c r="P19" s="11">
        <v>14092.290999999999</v>
      </c>
    </row>
    <row r="20" spans="2:16">
      <c r="B20" s="7" t="s">
        <v>35</v>
      </c>
      <c r="C20" s="8">
        <v>119.6</v>
      </c>
      <c r="D20" s="8">
        <v>210.5</v>
      </c>
      <c r="E20" s="8">
        <v>172.1</v>
      </c>
      <c r="F20" s="16">
        <v>268.964</v>
      </c>
      <c r="G20" s="16">
        <v>469.02800000000002</v>
      </c>
      <c r="H20" s="77">
        <v>278.245</v>
      </c>
      <c r="I20" s="96"/>
      <c r="J20" s="90" t="s">
        <v>36</v>
      </c>
      <c r="K20" s="8">
        <v>15.5</v>
      </c>
      <c r="L20" s="8">
        <v>11.4</v>
      </c>
      <c r="M20" s="8">
        <v>204.7</v>
      </c>
      <c r="N20" s="8">
        <v>154.328</v>
      </c>
      <c r="O20" s="8">
        <v>655.34299999999996</v>
      </c>
      <c r="P20" s="8">
        <v>566.73099999999999</v>
      </c>
    </row>
    <row r="21" spans="2:16">
      <c r="B21" s="4" t="s">
        <v>37</v>
      </c>
      <c r="C21" s="25">
        <f t="shared" ref="C21:G21" si="6">C13+C17-C19-C20-C18</f>
        <v>1553.8</v>
      </c>
      <c r="D21" s="25">
        <f t="shared" si="6"/>
        <v>2607.6999999999994</v>
      </c>
      <c r="E21" s="25">
        <f t="shared" si="6"/>
        <v>3004.8999999999978</v>
      </c>
      <c r="F21" s="25">
        <f t="shared" si="6"/>
        <v>3606.8950000000023</v>
      </c>
      <c r="G21" s="25">
        <f t="shared" si="6"/>
        <v>2277.1779999999981</v>
      </c>
      <c r="H21" s="80">
        <f>H13+H17-H19-H20-H18</f>
        <v>1838.0289999999984</v>
      </c>
      <c r="I21" s="99"/>
      <c r="J21" s="90" t="s">
        <v>38</v>
      </c>
      <c r="K21" s="8">
        <v>1652.3</v>
      </c>
      <c r="L21" s="8">
        <v>622</v>
      </c>
      <c r="M21" s="8">
        <v>785</v>
      </c>
      <c r="N21" s="11">
        <v>3065.8180000000002</v>
      </c>
      <c r="O21" s="11">
        <v>3052.1089999999999</v>
      </c>
      <c r="P21" s="11">
        <v>3082.4479999999999</v>
      </c>
    </row>
    <row r="22" spans="2:16">
      <c r="B22" s="7" t="s">
        <v>39</v>
      </c>
      <c r="C22" s="26">
        <v>0</v>
      </c>
      <c r="D22" s="26">
        <v>0</v>
      </c>
      <c r="E22" s="26">
        <v>0</v>
      </c>
      <c r="F22" s="27">
        <v>0</v>
      </c>
      <c r="G22" s="28">
        <v>27.949000000000002</v>
      </c>
      <c r="H22" s="81">
        <v>-20.399999999999999</v>
      </c>
      <c r="I22" s="100"/>
      <c r="J22" s="90" t="s">
        <v>40</v>
      </c>
      <c r="K22" s="8">
        <v>2.2999999999999998</v>
      </c>
      <c r="L22" s="8">
        <v>1.8</v>
      </c>
      <c r="M22" s="8">
        <v>168.5</v>
      </c>
      <c r="N22" s="8">
        <v>306.68200000000002</v>
      </c>
      <c r="O22" s="8">
        <v>360.137</v>
      </c>
      <c r="P22" s="8">
        <v>345.75599999999997</v>
      </c>
    </row>
    <row r="23" spans="2:16">
      <c r="B23" s="4" t="s">
        <v>41</v>
      </c>
      <c r="C23" s="29" t="s">
        <v>42</v>
      </c>
      <c r="D23" s="29" t="s">
        <v>42</v>
      </c>
      <c r="E23" s="29" t="s">
        <v>42</v>
      </c>
      <c r="F23" s="30" t="s">
        <v>42</v>
      </c>
      <c r="G23" s="20">
        <f>G21-G22</f>
        <v>2249.228999999998</v>
      </c>
      <c r="H23" s="79">
        <f>H21+H22</f>
        <v>1817.6289999999983</v>
      </c>
      <c r="I23" s="98"/>
      <c r="J23" s="90" t="s">
        <v>43</v>
      </c>
      <c r="K23" s="8">
        <v>221.4</v>
      </c>
      <c r="L23" s="8">
        <v>396.7</v>
      </c>
      <c r="M23" s="8">
        <v>584.20000000000005</v>
      </c>
      <c r="N23" s="8">
        <v>677.71299999999997</v>
      </c>
      <c r="O23" s="8">
        <v>878.73500000000001</v>
      </c>
      <c r="P23" s="8">
        <v>1039.1489999999999</v>
      </c>
    </row>
    <row r="24" spans="2:16">
      <c r="B24" s="7" t="s">
        <v>44</v>
      </c>
      <c r="C24" s="31" t="s">
        <v>42</v>
      </c>
      <c r="D24" s="31" t="s">
        <v>42</v>
      </c>
      <c r="E24" s="31" t="s">
        <v>42</v>
      </c>
      <c r="F24" s="31" t="s">
        <v>42</v>
      </c>
      <c r="G24" s="16">
        <v>79.983000000000004</v>
      </c>
      <c r="H24" s="77">
        <v>142.87299999999999</v>
      </c>
      <c r="I24" s="96"/>
      <c r="J24" s="90" t="s">
        <v>45</v>
      </c>
      <c r="K24" s="8">
        <v>17.8</v>
      </c>
      <c r="L24" s="8">
        <v>17.8</v>
      </c>
      <c r="M24" s="8">
        <v>17.8</v>
      </c>
      <c r="N24" s="8">
        <v>17.806000000000001</v>
      </c>
      <c r="O24" s="8">
        <v>0</v>
      </c>
      <c r="P24" s="8">
        <v>0</v>
      </c>
    </row>
    <row r="25" spans="2:16">
      <c r="B25" s="4" t="s">
        <v>46</v>
      </c>
      <c r="C25" s="13">
        <f>C21+C22</f>
        <v>1553.8</v>
      </c>
      <c r="D25" s="13">
        <f>D21+D22</f>
        <v>2607.6999999999994</v>
      </c>
      <c r="E25" s="13">
        <f>E21+E22</f>
        <v>3004.8999999999978</v>
      </c>
      <c r="F25" s="13">
        <f>F21+F22</f>
        <v>3606.8950000000023</v>
      </c>
      <c r="G25" s="13">
        <f>G23+G24</f>
        <v>2329.2119999999982</v>
      </c>
      <c r="H25" s="82">
        <f>H23+H24</f>
        <v>1960.5019999999984</v>
      </c>
      <c r="I25" s="101"/>
      <c r="J25" s="90" t="s">
        <v>47</v>
      </c>
      <c r="K25" s="8"/>
      <c r="L25" s="8"/>
      <c r="M25" s="8"/>
      <c r="N25" s="8"/>
      <c r="O25" s="8"/>
      <c r="P25" s="8"/>
    </row>
    <row r="26" spans="2:16">
      <c r="B26" s="7" t="s">
        <v>48</v>
      </c>
      <c r="C26" s="8"/>
      <c r="D26" s="8"/>
      <c r="E26" s="8"/>
      <c r="F26" s="16"/>
      <c r="G26" s="16"/>
      <c r="H26" s="1"/>
      <c r="I26" s="74"/>
      <c r="J26" s="90" t="s">
        <v>49</v>
      </c>
      <c r="K26" s="8">
        <v>322.3</v>
      </c>
      <c r="L26" s="8">
        <v>355.2</v>
      </c>
      <c r="M26" s="8">
        <v>367.8</v>
      </c>
      <c r="N26" s="8">
        <v>292.40499999999997</v>
      </c>
      <c r="O26" s="8">
        <v>1938.4770000000001</v>
      </c>
      <c r="P26" s="8">
        <v>2038.1310000000001</v>
      </c>
    </row>
    <row r="27" spans="2:16">
      <c r="B27" s="7" t="s">
        <v>50</v>
      </c>
      <c r="C27" s="8">
        <v>273.3</v>
      </c>
      <c r="D27" s="8">
        <v>559.9</v>
      </c>
      <c r="E27" s="8">
        <v>588.4</v>
      </c>
      <c r="F27" s="16">
        <v>722.02599999999995</v>
      </c>
      <c r="G27" s="16">
        <v>430.46</v>
      </c>
      <c r="H27" s="77">
        <v>402.7</v>
      </c>
      <c r="I27" s="96"/>
      <c r="J27" s="90" t="s">
        <v>51</v>
      </c>
      <c r="K27" s="8"/>
      <c r="L27" s="8">
        <v>58.5</v>
      </c>
      <c r="M27" s="8">
        <v>58.5</v>
      </c>
      <c r="N27" s="8">
        <v>73.013000000000005</v>
      </c>
      <c r="O27" s="8">
        <v>77.754000000000005</v>
      </c>
      <c r="P27" s="8">
        <v>80.123999999999995</v>
      </c>
    </row>
    <row r="28" spans="2:16">
      <c r="B28" s="7" t="s">
        <v>52</v>
      </c>
      <c r="C28" s="8">
        <v>11.2</v>
      </c>
      <c r="D28" s="8">
        <v>31.3</v>
      </c>
      <c r="E28" s="17">
        <v>-30.6</v>
      </c>
      <c r="F28" s="32">
        <v>-46.951999999999998</v>
      </c>
      <c r="G28" s="32">
        <v>-8.8000000000000007</v>
      </c>
      <c r="H28" s="83">
        <v>0</v>
      </c>
      <c r="I28" s="102"/>
      <c r="J28" s="90" t="s">
        <v>53</v>
      </c>
      <c r="K28" s="8">
        <v>85.8</v>
      </c>
      <c r="L28" s="8">
        <v>94.4</v>
      </c>
      <c r="M28" s="8">
        <v>113.3</v>
      </c>
      <c r="N28" s="8">
        <v>140.27600000000001</v>
      </c>
      <c r="O28" s="8">
        <v>354.27499999999998</v>
      </c>
      <c r="P28" s="8">
        <v>362.63900000000001</v>
      </c>
    </row>
    <row r="29" spans="2:16">
      <c r="B29" s="7" t="s">
        <v>54</v>
      </c>
      <c r="C29" s="8">
        <v>46.8</v>
      </c>
      <c r="D29" s="8">
        <v>81.7</v>
      </c>
      <c r="E29" s="8">
        <v>278.2</v>
      </c>
      <c r="F29" s="16">
        <v>207.774</v>
      </c>
      <c r="G29" s="16">
        <v>160.47</v>
      </c>
      <c r="H29" s="77">
        <v>81.653000000000006</v>
      </c>
      <c r="I29" s="96"/>
      <c r="J29" s="90" t="s">
        <v>55</v>
      </c>
      <c r="K29" s="8">
        <v>14.8</v>
      </c>
      <c r="L29" s="8">
        <v>24.9</v>
      </c>
      <c r="M29" s="8">
        <v>122.6</v>
      </c>
      <c r="N29" s="8">
        <v>227.46700000000001</v>
      </c>
      <c r="O29" s="8">
        <v>168.13</v>
      </c>
      <c r="P29" s="8">
        <v>85.986000000000004</v>
      </c>
    </row>
    <row r="30" spans="2:16">
      <c r="B30" s="7" t="s">
        <v>56</v>
      </c>
      <c r="C30" s="8">
        <f t="shared" ref="C30:G30" si="7">SUM(C27:C29)</f>
        <v>331.3</v>
      </c>
      <c r="D30" s="8">
        <f t="shared" si="7"/>
        <v>672.9</v>
      </c>
      <c r="E30" s="8">
        <f t="shared" si="7"/>
        <v>836</v>
      </c>
      <c r="F30" s="16">
        <f t="shared" si="7"/>
        <v>882.84799999999996</v>
      </c>
      <c r="G30" s="16">
        <f t="shared" si="7"/>
        <v>582.13</v>
      </c>
      <c r="H30" s="77">
        <f>SUM(H27:H29)</f>
        <v>484.35300000000001</v>
      </c>
      <c r="I30" s="96"/>
      <c r="J30" s="91" t="s">
        <v>57</v>
      </c>
      <c r="K30" s="5">
        <f t="shared" ref="K30:P30" si="8">SUM(K19:K29)</f>
        <v>10117.599999999995</v>
      </c>
      <c r="L30" s="5">
        <f t="shared" si="8"/>
        <v>10810.099999999999</v>
      </c>
      <c r="M30" s="5">
        <f t="shared" si="8"/>
        <v>12364.6</v>
      </c>
      <c r="N30" s="5">
        <f t="shared" si="8"/>
        <v>15842.380000000003</v>
      </c>
      <c r="O30" s="5">
        <f t="shared" si="8"/>
        <v>20844.142000000003</v>
      </c>
      <c r="P30" s="5">
        <f t="shared" si="8"/>
        <v>21693.255000000001</v>
      </c>
    </row>
    <row r="31" spans="2:16">
      <c r="B31" s="21" t="s">
        <v>58</v>
      </c>
      <c r="C31" s="10">
        <f t="shared" ref="C31:H31" si="9">C30/C25</f>
        <v>0.21321920453082766</v>
      </c>
      <c r="D31" s="10">
        <f t="shared" si="9"/>
        <v>0.25804348659738474</v>
      </c>
      <c r="E31" s="10">
        <f t="shared" si="9"/>
        <v>0.27821225331957822</v>
      </c>
      <c r="F31" s="33">
        <f t="shared" si="9"/>
        <v>0.24476675922088095</v>
      </c>
      <c r="G31" s="33">
        <f t="shared" si="9"/>
        <v>0.24992572595367035</v>
      </c>
      <c r="H31" s="84">
        <f t="shared" si="9"/>
        <v>0.24705560106544161</v>
      </c>
      <c r="I31" s="103"/>
      <c r="J31" s="90"/>
      <c r="K31" s="7"/>
      <c r="L31" s="7"/>
      <c r="M31" s="7"/>
      <c r="N31" s="7"/>
      <c r="O31" s="7"/>
      <c r="P31" s="7"/>
    </row>
    <row r="32" spans="2:16">
      <c r="B32" s="4" t="s">
        <v>59</v>
      </c>
      <c r="C32" s="13">
        <f t="shared" ref="C32:G32" si="10">C25-C30</f>
        <v>1222.5</v>
      </c>
      <c r="D32" s="13">
        <f t="shared" si="10"/>
        <v>1934.7999999999993</v>
      </c>
      <c r="E32" s="13">
        <f t="shared" si="10"/>
        <v>2168.8999999999978</v>
      </c>
      <c r="F32" s="20">
        <f t="shared" si="10"/>
        <v>2724.0470000000023</v>
      </c>
      <c r="G32" s="20">
        <f t="shared" si="10"/>
        <v>1747.0819999999981</v>
      </c>
      <c r="H32" s="79">
        <f>H25-H30</f>
        <v>1476.1489999999983</v>
      </c>
      <c r="I32" s="98"/>
      <c r="J32" s="92" t="s">
        <v>60</v>
      </c>
      <c r="K32" s="8"/>
      <c r="L32" s="8"/>
      <c r="M32" s="8"/>
      <c r="N32" s="8"/>
      <c r="O32" s="8"/>
      <c r="P32" s="8"/>
    </row>
    <row r="33" spans="2:16">
      <c r="B33" s="34" t="s">
        <v>61</v>
      </c>
      <c r="C33" s="23">
        <v>0</v>
      </c>
      <c r="D33" s="23">
        <v>0</v>
      </c>
      <c r="E33" s="23">
        <v>0</v>
      </c>
      <c r="F33" s="18">
        <v>0</v>
      </c>
      <c r="G33" s="18">
        <v>0</v>
      </c>
      <c r="H33" s="78">
        <v>0</v>
      </c>
      <c r="I33" s="97"/>
      <c r="J33" s="90" t="s">
        <v>62</v>
      </c>
      <c r="K33" s="11">
        <v>4754.5</v>
      </c>
      <c r="L33" s="11">
        <v>6020.4</v>
      </c>
      <c r="M33" s="11">
        <v>6428.6</v>
      </c>
      <c r="N33" s="11">
        <v>5875.7939999999999</v>
      </c>
      <c r="O33" s="11">
        <v>6403.0770000000002</v>
      </c>
      <c r="P33" s="11">
        <v>7942.0879999999997</v>
      </c>
    </row>
    <row r="34" spans="2:16">
      <c r="B34" s="7" t="s">
        <v>63</v>
      </c>
      <c r="C34" s="23">
        <v>0</v>
      </c>
      <c r="D34" s="23">
        <v>0</v>
      </c>
      <c r="E34" s="23">
        <v>0</v>
      </c>
      <c r="F34" s="18">
        <v>0</v>
      </c>
      <c r="G34" s="18">
        <v>0</v>
      </c>
      <c r="H34" s="78">
        <v>0</v>
      </c>
      <c r="I34" s="97"/>
      <c r="J34" s="90" t="s">
        <v>64</v>
      </c>
      <c r="K34" s="8"/>
      <c r="L34" s="8"/>
      <c r="M34" s="8"/>
      <c r="N34" s="8"/>
      <c r="O34" s="8"/>
      <c r="P34" s="8"/>
    </row>
    <row r="35" spans="2:16">
      <c r="B35" s="35" t="s">
        <v>65</v>
      </c>
      <c r="C35" s="36">
        <f>C33-C34</f>
        <v>0</v>
      </c>
      <c r="D35" s="36">
        <f>D33-D34</f>
        <v>0</v>
      </c>
      <c r="E35" s="36">
        <f>E33-E34</f>
        <v>0</v>
      </c>
      <c r="F35" s="37">
        <f>F33-F34</f>
        <v>0</v>
      </c>
      <c r="G35" s="37">
        <v>0</v>
      </c>
      <c r="H35" s="85">
        <f>H33-H34</f>
        <v>0</v>
      </c>
      <c r="I35" s="104"/>
      <c r="J35" s="90" t="s">
        <v>66</v>
      </c>
      <c r="K35" s="38">
        <v>0</v>
      </c>
      <c r="L35" s="8">
        <v>509.9</v>
      </c>
      <c r="M35" s="8">
        <v>703.9</v>
      </c>
      <c r="N35" s="8">
        <v>475.601</v>
      </c>
      <c r="O35" s="8">
        <v>0</v>
      </c>
      <c r="P35" s="8">
        <v>0</v>
      </c>
    </row>
    <row r="36" spans="2:16">
      <c r="B36" s="4" t="s">
        <v>67</v>
      </c>
      <c r="C36" s="13">
        <f t="shared" ref="C36:H36" si="11">C32+C35</f>
        <v>1222.5</v>
      </c>
      <c r="D36" s="13">
        <f t="shared" si="11"/>
        <v>1934.7999999999993</v>
      </c>
      <c r="E36" s="13">
        <f t="shared" si="11"/>
        <v>2168.8999999999978</v>
      </c>
      <c r="F36" s="20">
        <f t="shared" si="11"/>
        <v>2724.0470000000023</v>
      </c>
      <c r="G36" s="20">
        <f t="shared" si="11"/>
        <v>1747.0819999999981</v>
      </c>
      <c r="H36" s="79">
        <f t="shared" si="11"/>
        <v>1476.1489999999983</v>
      </c>
      <c r="I36" s="98"/>
      <c r="J36" s="90" t="s">
        <v>68</v>
      </c>
      <c r="K36" s="11">
        <v>3766.6</v>
      </c>
      <c r="L36" s="11">
        <v>4501</v>
      </c>
      <c r="M36" s="11">
        <v>5193.3999999999996</v>
      </c>
      <c r="N36" s="11">
        <v>5754.0469999999996</v>
      </c>
      <c r="O36" s="11">
        <v>5833.2439999999997</v>
      </c>
      <c r="P36" s="11">
        <v>6849.5569999999998</v>
      </c>
    </row>
    <row r="37" spans="2:16">
      <c r="B37" s="21" t="s">
        <v>69</v>
      </c>
      <c r="C37" s="10">
        <f t="shared" ref="C37:H37" si="12">IF(C36/C5&gt;100%,"N.A.",IF(C36/C5&lt;-100%,"N.A.",(C36/C5)))</f>
        <v>0.10188009400470024</v>
      </c>
      <c r="D37" s="10">
        <f t="shared" si="12"/>
        <v>9.9463816618086259E-2</v>
      </c>
      <c r="E37" s="10">
        <f t="shared" si="12"/>
        <v>0.11707267044871819</v>
      </c>
      <c r="F37" s="33">
        <f t="shared" si="12"/>
        <v>0.12879201181802355</v>
      </c>
      <c r="G37" s="33">
        <f t="shared" si="12"/>
        <v>9.6022930100841231E-2</v>
      </c>
      <c r="H37" s="84">
        <f t="shared" si="12"/>
        <v>0.12878095567285214</v>
      </c>
      <c r="I37" s="103"/>
      <c r="J37" s="90" t="s">
        <v>70</v>
      </c>
      <c r="K37" s="8">
        <v>832.7</v>
      </c>
      <c r="L37" s="8">
        <v>121.2</v>
      </c>
      <c r="M37" s="8">
        <v>236.3</v>
      </c>
      <c r="N37" s="8">
        <v>67.337000000000003</v>
      </c>
      <c r="O37" s="8">
        <v>85.302999999999997</v>
      </c>
      <c r="P37" s="8">
        <v>42.149000000000001</v>
      </c>
    </row>
    <row r="38" spans="2:16">
      <c r="B38" s="21" t="s">
        <v>11</v>
      </c>
      <c r="C38" s="10"/>
      <c r="D38" s="10">
        <f>IF(D36/C36-1&gt;100%,"N.A.",IF(D36/C36-1&lt;-100%,"N.A.",D36/C36-1))</f>
        <v>0.58265848670756593</v>
      </c>
      <c r="E38" s="10">
        <f>IF(E36/D36-1&gt;100%,"N.A.",IF(E36/D36-1&lt;-100%,"N.A.",E36/D36-1))</f>
        <v>0.1209944180277025</v>
      </c>
      <c r="F38" s="10">
        <f>IF(F36/E36-1&gt;100%,"N.A.",IF(F36/E36-1&lt;-100%,"N.A.",F36/E36-1))</f>
        <v>0.25595785882244693</v>
      </c>
      <c r="G38" s="10">
        <f>IF(G36/F36-1&gt;100%,"N.A.",IF(G36/F36-1&lt;-100%,"N.A.",G36/F36-1))</f>
        <v>-0.35864469298804436</v>
      </c>
      <c r="H38" s="76" t="s">
        <v>146</v>
      </c>
      <c r="I38" s="95"/>
      <c r="J38" s="90" t="s">
        <v>71</v>
      </c>
      <c r="K38" s="38">
        <v>0</v>
      </c>
      <c r="L38" s="8">
        <v>0.7</v>
      </c>
      <c r="M38" s="8">
        <v>4.3</v>
      </c>
      <c r="N38" s="8">
        <v>19.119</v>
      </c>
      <c r="O38" s="8">
        <v>10.856</v>
      </c>
      <c r="P38" s="8">
        <v>190.762</v>
      </c>
    </row>
    <row r="39" spans="2:16">
      <c r="B39" s="21" t="s">
        <v>28</v>
      </c>
      <c r="C39" s="10"/>
      <c r="D39" s="10"/>
      <c r="E39" s="10">
        <f>IF((E36/C36)^(1/3)-1&lt;-100%,"N.A.",IF((E36/C36)^(1/3)-1&gt;100%,"N.A.",((E36/C36)^(1/3)-1)))</f>
        <v>0.21058945603999368</v>
      </c>
      <c r="F39" s="10">
        <f>IF((F36/C36)^(1/3)-1&lt;-100%,"N.A.",IF((F36/C36)^(1/3)-1&gt;100%,"N.A.",((F36/C36)^(1/3)-1)))</f>
        <v>0.30613653082424075</v>
      </c>
      <c r="G39" s="10">
        <f>IF((G36/D36)^(1/3)-1&lt;-100%,"N.A.",IF((G36/D36)^(1/3)-1&gt;100%,"N.A.",((G36/D36)^(1/3)-1)))</f>
        <v>-3.3446858213058817E-2</v>
      </c>
      <c r="H39" s="76" t="s">
        <v>146</v>
      </c>
      <c r="I39" s="95"/>
      <c r="J39" s="90" t="s">
        <v>72</v>
      </c>
      <c r="K39" s="8">
        <v>61.4</v>
      </c>
      <c r="L39" s="8">
        <v>12.5</v>
      </c>
      <c r="M39" s="8">
        <v>12.5</v>
      </c>
      <c r="N39" s="8">
        <v>10.144</v>
      </c>
      <c r="O39" s="8">
        <v>4.9569999999999999</v>
      </c>
      <c r="P39" s="8">
        <v>5.8579999999999997</v>
      </c>
    </row>
    <row r="40" spans="2:16">
      <c r="B40" s="7" t="s">
        <v>73</v>
      </c>
      <c r="C40" s="8"/>
      <c r="D40" s="8"/>
      <c r="E40" s="8"/>
      <c r="F40" s="16"/>
      <c r="G40" s="16"/>
      <c r="H40" s="1"/>
      <c r="I40" s="74"/>
      <c r="J40" s="90" t="s">
        <v>74</v>
      </c>
      <c r="K40" s="8">
        <v>770.2</v>
      </c>
      <c r="L40" s="8">
        <v>50.9</v>
      </c>
      <c r="M40" s="8">
        <v>62.8</v>
      </c>
      <c r="N40" s="8">
        <v>11.643000000000001</v>
      </c>
      <c r="O40" s="8">
        <v>0</v>
      </c>
      <c r="P40" s="8">
        <v>2.1829999999999998</v>
      </c>
    </row>
    <row r="41" spans="2:16">
      <c r="B41" s="7" t="s">
        <v>75</v>
      </c>
      <c r="C41" s="8">
        <v>70.7</v>
      </c>
      <c r="D41" s="8">
        <v>-34.5</v>
      </c>
      <c r="E41" s="8">
        <v>-4.5</v>
      </c>
      <c r="F41" s="16">
        <v>-97.572999999999993</v>
      </c>
      <c r="G41" s="16">
        <v>-42.929000000000002</v>
      </c>
      <c r="H41" s="77">
        <v>27.89</v>
      </c>
      <c r="I41" s="96"/>
      <c r="J41" s="90" t="s">
        <v>76</v>
      </c>
      <c r="K41" s="8">
        <v>96.1</v>
      </c>
      <c r="L41" s="8">
        <v>413.4</v>
      </c>
      <c r="M41" s="8">
        <v>34.427999999999997</v>
      </c>
      <c r="N41" s="8">
        <v>968.22900000000004</v>
      </c>
      <c r="O41" s="11">
        <v>1536.1289999999999</v>
      </c>
      <c r="P41" s="11">
        <v>1532.9</v>
      </c>
    </row>
    <row r="42" spans="2:16">
      <c r="B42" s="7" t="s">
        <v>77</v>
      </c>
      <c r="C42" s="23">
        <v>0</v>
      </c>
      <c r="D42" s="23">
        <v>0</v>
      </c>
      <c r="E42" s="23">
        <v>0</v>
      </c>
      <c r="F42" s="18" t="s">
        <v>42</v>
      </c>
      <c r="G42" s="39">
        <v>-19.46</v>
      </c>
      <c r="H42" s="86">
        <v>-37.231000000000002</v>
      </c>
      <c r="I42" s="105"/>
      <c r="J42" s="90" t="s">
        <v>78</v>
      </c>
      <c r="K42" s="8"/>
      <c r="L42" s="8"/>
      <c r="M42" s="8">
        <v>780</v>
      </c>
      <c r="N42" s="8"/>
      <c r="O42" s="8">
        <v>99.352000000000004</v>
      </c>
      <c r="P42" s="8">
        <v>0</v>
      </c>
    </row>
    <row r="43" spans="2:16">
      <c r="B43" s="24" t="s">
        <v>79</v>
      </c>
      <c r="C43" s="8">
        <f t="shared" ref="C43:G43" si="13">SUM(C40:C42)</f>
        <v>70.7</v>
      </c>
      <c r="D43" s="8">
        <f t="shared" si="13"/>
        <v>-34.5</v>
      </c>
      <c r="E43" s="8">
        <f t="shared" si="13"/>
        <v>-4.5</v>
      </c>
      <c r="F43" s="16">
        <f t="shared" si="13"/>
        <v>-97.572999999999993</v>
      </c>
      <c r="G43" s="16">
        <f t="shared" si="13"/>
        <v>-62.389000000000003</v>
      </c>
      <c r="H43" s="77">
        <f>SUM(H40:H42)</f>
        <v>-9.3410000000000011</v>
      </c>
      <c r="I43" s="96"/>
      <c r="J43" s="91" t="s">
        <v>80</v>
      </c>
      <c r="K43" s="5">
        <f t="shared" ref="K43:P43" si="14">SUM(K33:K42)</f>
        <v>10281.500000000002</v>
      </c>
      <c r="L43" s="5">
        <f t="shared" si="14"/>
        <v>11630</v>
      </c>
      <c r="M43" s="5">
        <f t="shared" si="14"/>
        <v>13456.227999999997</v>
      </c>
      <c r="N43" s="5">
        <f t="shared" si="14"/>
        <v>13181.913999999999</v>
      </c>
      <c r="O43" s="5">
        <f t="shared" si="14"/>
        <v>13972.918</v>
      </c>
      <c r="P43" s="5">
        <f t="shared" si="14"/>
        <v>16565.497000000003</v>
      </c>
    </row>
    <row r="44" spans="2:16">
      <c r="B44" s="7"/>
      <c r="C44" s="7"/>
      <c r="D44" s="7"/>
      <c r="E44" s="7"/>
      <c r="F44" s="40"/>
      <c r="G44" s="40"/>
      <c r="H44" s="1"/>
      <c r="I44" s="74"/>
      <c r="J44" s="92" t="s">
        <v>81</v>
      </c>
      <c r="K44" s="8"/>
      <c r="L44" s="8"/>
      <c r="M44" s="8"/>
      <c r="N44" s="8"/>
      <c r="O44" s="8"/>
      <c r="P44" s="8"/>
    </row>
    <row r="45" spans="2:16">
      <c r="B45" s="4" t="s">
        <v>82</v>
      </c>
      <c r="C45" s="13">
        <f t="shared" ref="C45:H45" si="15">C36+C43</f>
        <v>1293.2</v>
      </c>
      <c r="D45" s="13">
        <f t="shared" si="15"/>
        <v>1900.2999999999993</v>
      </c>
      <c r="E45" s="13">
        <f t="shared" si="15"/>
        <v>2164.3999999999978</v>
      </c>
      <c r="F45" s="20">
        <f t="shared" si="15"/>
        <v>2626.4740000000024</v>
      </c>
      <c r="G45" s="41">
        <f t="shared" si="15"/>
        <v>1684.6929999999982</v>
      </c>
      <c r="H45" s="87">
        <f t="shared" si="15"/>
        <v>1466.8079999999984</v>
      </c>
      <c r="I45" s="106"/>
      <c r="J45" s="90" t="s">
        <v>83</v>
      </c>
      <c r="K45" s="8"/>
      <c r="L45" s="8"/>
      <c r="M45" s="8"/>
      <c r="N45" s="8"/>
      <c r="O45" s="8"/>
      <c r="P45" s="8"/>
    </row>
    <row r="46" spans="2:16">
      <c r="B46" s="21" t="s">
        <v>11</v>
      </c>
      <c r="C46" s="10"/>
      <c r="D46" s="10">
        <f>IF(D45/C45-1&gt;100%,"N.A.",IF(D45/C45-1&lt;-100%,"N.A.",(D45/C45-1)))</f>
        <v>0.46945561398082214</v>
      </c>
      <c r="E46" s="10">
        <f>IF(E45/D45-1&gt;100%,"N.A.",IF(E45/D45-1&lt;-100%,"N.A.",(E45/D45-1)))</f>
        <v>0.13897805609640512</v>
      </c>
      <c r="F46" s="10">
        <f>IF(F45/E45-1&gt;100%,"N.A.",IF(F45/E45-1&lt;-100%,"N.A.",(F45/E45-1)))</f>
        <v>0.21348826464609361</v>
      </c>
      <c r="G46" s="10">
        <f>IF(G45/F45-1&gt;100%,"N.A.",IF(G45/F45-1&lt;-100%,"N.A.",(G45/F45-1)))</f>
        <v>-0.35857236736400333</v>
      </c>
      <c r="H46" s="76" t="s">
        <v>146</v>
      </c>
      <c r="I46" s="95"/>
      <c r="J46" s="90" t="s">
        <v>84</v>
      </c>
      <c r="K46" s="8">
        <f>K10</f>
        <v>5.5</v>
      </c>
      <c r="L46" s="8">
        <f>L10</f>
        <v>1.8</v>
      </c>
      <c r="M46" s="8">
        <f>M10</f>
        <v>0.4</v>
      </c>
      <c r="N46" s="11">
        <v>1035.556</v>
      </c>
      <c r="O46" s="11">
        <v>1858.114</v>
      </c>
      <c r="P46" s="11">
        <v>1598.3820000000001</v>
      </c>
    </row>
    <row r="47" spans="2:16">
      <c r="B47" s="21" t="s">
        <v>28</v>
      </c>
      <c r="C47" s="10"/>
      <c r="D47" s="10"/>
      <c r="E47" s="10">
        <f>IF((E45/C45)^(1/3)-1&lt;-100%,"N.A.",IF((E45/C45)^(1/3)-1&gt;100%,"N.A.",((E45/C45)^(1/3)-1)))</f>
        <v>0.18729127529592016</v>
      </c>
      <c r="F47" s="10">
        <f>IF((F45/C45)^(1/3)-1&lt;-100%,"N.A.",IF((F45/D45)^(1/3)-1&gt;100%,"N.A.",((F45/D45)^(1/3)-1)))</f>
        <v>0.11391053799141715</v>
      </c>
      <c r="G47" s="10">
        <f>IF((G45/D45)^(1/3)-1&lt;-100%,"N.A.",IF((G45/E45)^(1/3)-1&gt;100%,"N.A.",((G45/E45)^(1/3)-1)))</f>
        <v>-8.012726050460095E-2</v>
      </c>
      <c r="H47" s="76" t="s">
        <v>146</v>
      </c>
      <c r="I47" s="95"/>
      <c r="J47" s="90" t="s">
        <v>85</v>
      </c>
      <c r="K47" s="8">
        <v>15.3</v>
      </c>
      <c r="L47" s="8">
        <v>5.3</v>
      </c>
      <c r="M47" s="8">
        <v>166.6</v>
      </c>
      <c r="N47" s="8">
        <v>116.68899999999999</v>
      </c>
      <c r="O47" s="8">
        <v>521.76</v>
      </c>
      <c r="P47" s="8">
        <v>434.99900000000002</v>
      </c>
    </row>
    <row r="48" spans="2:16">
      <c r="B48" s="7" t="s">
        <v>86</v>
      </c>
      <c r="C48" s="8"/>
      <c r="D48" s="8"/>
      <c r="E48" s="8"/>
      <c r="F48" s="16"/>
      <c r="G48" s="16"/>
      <c r="H48" s="1"/>
      <c r="I48" s="74"/>
      <c r="J48" s="90" t="s">
        <v>87</v>
      </c>
      <c r="K48" s="42">
        <v>0</v>
      </c>
      <c r="L48" s="42">
        <v>0</v>
      </c>
      <c r="M48" s="42">
        <v>0</v>
      </c>
      <c r="N48" s="42">
        <v>77.027000000000001</v>
      </c>
      <c r="O48" s="42">
        <v>393.59800000000001</v>
      </c>
      <c r="P48" s="42">
        <v>368.286</v>
      </c>
    </row>
    <row r="49" spans="2:16">
      <c r="B49" s="43" t="s">
        <v>88</v>
      </c>
      <c r="C49" s="44">
        <v>13.49</v>
      </c>
      <c r="D49" s="44">
        <v>21.35</v>
      </c>
      <c r="E49" s="44">
        <v>23.93</v>
      </c>
      <c r="F49" s="45">
        <v>30.06</v>
      </c>
      <c r="G49" s="45">
        <v>19.27</v>
      </c>
      <c r="H49" s="88">
        <v>16.28</v>
      </c>
      <c r="I49" s="107"/>
      <c r="J49" s="90" t="s">
        <v>89</v>
      </c>
      <c r="K49" s="42">
        <v>0</v>
      </c>
      <c r="L49" s="8">
        <v>53.6</v>
      </c>
      <c r="M49" s="42">
        <v>60.6</v>
      </c>
      <c r="N49" s="42">
        <v>81.177999999999997</v>
      </c>
      <c r="O49" s="42">
        <v>78.518000000000001</v>
      </c>
      <c r="P49" s="42">
        <v>91.173000000000002</v>
      </c>
    </row>
    <row r="50" spans="2:16">
      <c r="B50" s="43" t="s">
        <v>90</v>
      </c>
      <c r="C50" s="44">
        <v>13.49</v>
      </c>
      <c r="D50" s="44">
        <v>21.35</v>
      </c>
      <c r="E50" s="44">
        <v>23.93</v>
      </c>
      <c r="F50" s="45">
        <v>30.04</v>
      </c>
      <c r="G50" s="45">
        <v>19.25</v>
      </c>
      <c r="H50" s="88">
        <v>16.260000000000002</v>
      </c>
      <c r="I50" s="107"/>
      <c r="J50" s="90" t="s">
        <v>91</v>
      </c>
      <c r="K50" s="8">
        <v>706.7</v>
      </c>
      <c r="L50" s="8">
        <v>788.4</v>
      </c>
      <c r="M50" s="42">
        <v>1079.2</v>
      </c>
      <c r="N50" s="42">
        <v>1284.0409999999999</v>
      </c>
      <c r="O50" s="42">
        <v>1343.32</v>
      </c>
      <c r="P50" s="42">
        <v>1426.184</v>
      </c>
    </row>
    <row r="51" spans="2:16">
      <c r="B51" s="21" t="s">
        <v>11</v>
      </c>
      <c r="C51" s="10"/>
      <c r="D51" s="10">
        <f>IF(D50/C50-1&gt;100%,"N.A.",IF(D50/C50-1&lt;-100%,"N.A.",(D50/C50-1)))</f>
        <v>0.5826538176426983</v>
      </c>
      <c r="E51" s="10">
        <f>IF(E50/D50-1&gt;100%,"N.A.",IF(E50/D50-1&lt;-100%,"N.A.",(E50/D50-1)))</f>
        <v>0.12084309133489457</v>
      </c>
      <c r="F51" s="10">
        <f>IF(F50/E50-1&gt;100%,"N.A.",IF(F50/E50-1&lt;-100%,"N.A.",(F50/E50-1)))</f>
        <v>0.25532804011700794</v>
      </c>
      <c r="G51" s="10">
        <f>IF(G50/F50-1&gt;100%,"N.A.",IF(G50/F50-1&lt;-100%,"N.A.",(G50/F50-1)))</f>
        <v>-0.35918774966711053</v>
      </c>
      <c r="H51" s="76" t="s">
        <v>146</v>
      </c>
      <c r="I51" s="95"/>
      <c r="J51" s="90" t="s">
        <v>92</v>
      </c>
      <c r="K51" s="42">
        <v>0</v>
      </c>
      <c r="L51" s="42">
        <v>0</v>
      </c>
      <c r="M51" s="42">
        <v>0</v>
      </c>
      <c r="N51" s="42"/>
      <c r="O51" s="42"/>
      <c r="P51" s="42"/>
    </row>
    <row r="52" spans="2:16">
      <c r="B52" s="21" t="s">
        <v>28</v>
      </c>
      <c r="C52" s="10"/>
      <c r="D52" s="10"/>
      <c r="E52" s="10">
        <f>IF((E50/C50)^(1/3)-1&lt;-100%,"N.A.",IF((E50/C50)^(1/3)-1&gt;100%,"N.A.",((E50/C50)^(1/3)-1)))</f>
        <v>0.21053378936495193</v>
      </c>
      <c r="F52" s="10">
        <f>IF((F50/C50)^(1/3)-1&lt;-100%,"N.A.",IF((F50/C50)^(1/3)-1&gt;100%,"N.A.",((F50/C50)^(1/3)-1)))</f>
        <v>0.30585811695170184</v>
      </c>
      <c r="G52" s="10">
        <f>IF((G50/D50)^(1/3)-1&lt;-100%,"N.A.",IF((G50/D50)^(1/3)-1&gt;100%,"N.A.",((G50/D50)^(1/3)-1)))</f>
        <v>-3.3924760041499913E-2</v>
      </c>
      <c r="H52" s="76" t="s">
        <v>146</v>
      </c>
      <c r="I52" s="95"/>
      <c r="J52" s="91" t="s">
        <v>93</v>
      </c>
      <c r="K52" s="13">
        <f t="shared" ref="K52:P52" si="16">SUM(K46:K51)</f>
        <v>727.5</v>
      </c>
      <c r="L52" s="13">
        <f t="shared" si="16"/>
        <v>849.1</v>
      </c>
      <c r="M52" s="5">
        <f t="shared" si="16"/>
        <v>1306.8</v>
      </c>
      <c r="N52" s="5">
        <f t="shared" si="16"/>
        <v>2594.491</v>
      </c>
      <c r="O52" s="5">
        <f t="shared" si="16"/>
        <v>4195.3099999999995</v>
      </c>
      <c r="P52" s="5">
        <f t="shared" si="16"/>
        <v>3919.0240000000003</v>
      </c>
    </row>
    <row r="53" spans="2:16">
      <c r="E53" s="14"/>
      <c r="F53" s="46"/>
      <c r="G53" s="46"/>
      <c r="H53" s="74"/>
      <c r="I53" s="74"/>
      <c r="J53" s="92" t="s">
        <v>94</v>
      </c>
      <c r="K53" s="8"/>
      <c r="L53" s="8"/>
      <c r="M53" s="8"/>
      <c r="N53" s="8"/>
      <c r="O53" s="8"/>
      <c r="P53" s="8"/>
    </row>
    <row r="54" spans="2:16">
      <c r="B54" s="2" t="s">
        <v>95</v>
      </c>
      <c r="C54" s="47" t="s">
        <v>4</v>
      </c>
      <c r="D54" s="47" t="s">
        <v>5</v>
      </c>
      <c r="E54" s="47" t="s">
        <v>6</v>
      </c>
      <c r="F54" s="47" t="s">
        <v>7</v>
      </c>
      <c r="G54" s="47" t="s">
        <v>8</v>
      </c>
      <c r="H54" s="47" t="s">
        <v>147</v>
      </c>
      <c r="I54" s="74"/>
      <c r="J54" s="90" t="s">
        <v>83</v>
      </c>
      <c r="K54" s="8"/>
      <c r="L54" s="8"/>
      <c r="M54" s="8"/>
      <c r="N54" s="8"/>
      <c r="O54" s="8"/>
      <c r="P54" s="8"/>
    </row>
    <row r="55" spans="2:16">
      <c r="B55" s="24" t="s">
        <v>96</v>
      </c>
      <c r="C55" s="48">
        <v>53.3</v>
      </c>
      <c r="D55" s="48">
        <f>C60</f>
        <v>832.7</v>
      </c>
      <c r="E55" s="48">
        <f>D60</f>
        <v>121.29999999999995</v>
      </c>
      <c r="F55" s="48">
        <f>E60</f>
        <v>236.40000000000003</v>
      </c>
      <c r="G55" s="48">
        <f>F60</f>
        <v>67.387999999999977</v>
      </c>
      <c r="H55" s="48">
        <f>G60</f>
        <v>85.343999999999639</v>
      </c>
      <c r="I55" s="74"/>
      <c r="J55" s="90" t="s">
        <v>84</v>
      </c>
      <c r="K55" s="11">
        <f>K11</f>
        <v>3377.3</v>
      </c>
      <c r="L55" s="11">
        <f>L11</f>
        <v>2141.5</v>
      </c>
      <c r="M55" s="11">
        <f>M11</f>
        <v>2640.6</v>
      </c>
      <c r="N55" s="11">
        <v>2927.9670000000001</v>
      </c>
      <c r="O55" s="11">
        <v>4998.2299999999996</v>
      </c>
      <c r="P55" s="11">
        <v>6766.3620000000001</v>
      </c>
    </row>
    <row r="56" spans="2:16">
      <c r="B56" s="43" t="s">
        <v>97</v>
      </c>
      <c r="C56" s="48">
        <v>-437</v>
      </c>
      <c r="D56" s="48">
        <v>2501.1999999999998</v>
      </c>
      <c r="E56" s="48">
        <v>2163.6</v>
      </c>
      <c r="F56" s="48">
        <v>3315.6149999999998</v>
      </c>
      <c r="G56" s="48">
        <v>2619.3150000000001</v>
      </c>
      <c r="H56" s="48">
        <v>299.86099999999999</v>
      </c>
      <c r="I56" s="74"/>
      <c r="J56" s="90" t="s">
        <v>85</v>
      </c>
      <c r="K56" s="42">
        <v>0</v>
      </c>
      <c r="L56" s="42">
        <v>4.4000000000000004</v>
      </c>
      <c r="M56" s="8">
        <v>44.9</v>
      </c>
      <c r="N56" s="8">
        <v>50.94</v>
      </c>
      <c r="O56" s="8">
        <v>165.50899999999999</v>
      </c>
      <c r="P56" s="8">
        <v>171.51300000000001</v>
      </c>
    </row>
    <row r="57" spans="2:16">
      <c r="B57" s="43" t="s">
        <v>98</v>
      </c>
      <c r="C57" s="48">
        <v>-1387.4</v>
      </c>
      <c r="D57" s="48">
        <v>-1578</v>
      </c>
      <c r="E57" s="48">
        <v>-2145.6999999999998</v>
      </c>
      <c r="F57" s="48">
        <v>-4138.9769999999999</v>
      </c>
      <c r="G57" s="48">
        <v>-4307.1710000000003</v>
      </c>
      <c r="H57" s="48">
        <v>-1312.076</v>
      </c>
      <c r="I57" s="74"/>
      <c r="J57" s="90" t="s">
        <v>99</v>
      </c>
      <c r="K57" s="49">
        <f t="shared" ref="K57:P57" si="17">SUM(K58:K59)</f>
        <v>2145.8000000000002</v>
      </c>
      <c r="L57" s="49">
        <f t="shared" si="17"/>
        <v>3395</v>
      </c>
      <c r="M57" s="49">
        <f t="shared" si="17"/>
        <v>3783.2</v>
      </c>
      <c r="N57" s="49">
        <f t="shared" si="17"/>
        <v>2778.3040000000001</v>
      </c>
      <c r="O57" s="49">
        <f t="shared" si="17"/>
        <v>3345.393</v>
      </c>
      <c r="P57" s="49">
        <f t="shared" si="17"/>
        <v>3633.9859999999999</v>
      </c>
    </row>
    <row r="58" spans="2:16">
      <c r="B58" s="43" t="s">
        <v>100</v>
      </c>
      <c r="C58" s="48">
        <v>2603.8000000000002</v>
      </c>
      <c r="D58" s="48">
        <v>-1634.6</v>
      </c>
      <c r="E58" s="48">
        <v>97.2</v>
      </c>
      <c r="F58" s="48">
        <v>654.35</v>
      </c>
      <c r="G58" s="48">
        <v>1705.8219999999999</v>
      </c>
      <c r="H58" s="48">
        <v>969.06</v>
      </c>
      <c r="I58" s="74"/>
      <c r="J58" s="90" t="s">
        <v>101</v>
      </c>
      <c r="K58" s="8">
        <v>211.4</v>
      </c>
      <c r="L58" s="8">
        <v>126.5</v>
      </c>
      <c r="M58" s="8">
        <v>189</v>
      </c>
      <c r="N58" s="8">
        <v>115.206</v>
      </c>
      <c r="O58" s="8">
        <v>11.672000000000001</v>
      </c>
      <c r="P58" s="8">
        <v>5.843</v>
      </c>
    </row>
    <row r="59" spans="2:16">
      <c r="B59" s="50" t="s">
        <v>102</v>
      </c>
      <c r="C59" s="51">
        <f t="shared" ref="C59:H59" si="18">SUM(C56:C58)</f>
        <v>779.40000000000009</v>
      </c>
      <c r="D59" s="51">
        <f t="shared" si="18"/>
        <v>-711.40000000000009</v>
      </c>
      <c r="E59" s="51">
        <f t="shared" si="18"/>
        <v>115.10000000000009</v>
      </c>
      <c r="F59" s="51">
        <f t="shared" si="18"/>
        <v>-169.01200000000006</v>
      </c>
      <c r="G59" s="51">
        <f t="shared" si="18"/>
        <v>17.965999999999667</v>
      </c>
      <c r="H59" s="51">
        <f t="shared" si="18"/>
        <v>-43.155000000000086</v>
      </c>
      <c r="I59" s="74"/>
      <c r="J59" s="90" t="s">
        <v>103</v>
      </c>
      <c r="K59" s="11">
        <v>1934.4</v>
      </c>
      <c r="L59" s="11">
        <v>3268.5</v>
      </c>
      <c r="M59" s="11">
        <v>3594.2</v>
      </c>
      <c r="N59" s="11">
        <v>2663.098</v>
      </c>
      <c r="O59" s="11">
        <v>3333.721</v>
      </c>
      <c r="P59" s="11">
        <v>3628.143</v>
      </c>
    </row>
    <row r="60" spans="2:16">
      <c r="B60" s="52" t="s">
        <v>104</v>
      </c>
      <c r="C60" s="53">
        <f t="shared" ref="C60:F60" si="19">C55+C59</f>
        <v>832.7</v>
      </c>
      <c r="D60" s="53">
        <f t="shared" si="19"/>
        <v>121.29999999999995</v>
      </c>
      <c r="E60" s="53">
        <f t="shared" si="19"/>
        <v>236.40000000000003</v>
      </c>
      <c r="F60" s="53">
        <f t="shared" si="19"/>
        <v>67.387999999999977</v>
      </c>
      <c r="G60" s="53">
        <f>G55+G59-0.01</f>
        <v>85.343999999999639</v>
      </c>
      <c r="H60" s="53">
        <f>H55+H59-0.1</f>
        <v>42.088999999999551</v>
      </c>
      <c r="I60" s="74"/>
      <c r="J60" s="90" t="s">
        <v>105</v>
      </c>
      <c r="K60" s="8">
        <v>118.9</v>
      </c>
      <c r="L60" s="8">
        <v>247.1</v>
      </c>
      <c r="M60" s="8">
        <v>302</v>
      </c>
      <c r="N60" s="8">
        <v>473.69</v>
      </c>
      <c r="O60" s="8">
        <v>651.30899999999997</v>
      </c>
      <c r="P60" s="8">
        <v>782.50599999999997</v>
      </c>
    </row>
    <row r="61" spans="2:16">
      <c r="I61" s="74"/>
      <c r="J61" s="90" t="s">
        <v>106</v>
      </c>
      <c r="K61" s="8"/>
      <c r="L61" s="8">
        <v>128</v>
      </c>
      <c r="M61" s="8">
        <v>110</v>
      </c>
      <c r="N61" s="8">
        <v>171.00700000000001</v>
      </c>
      <c r="O61" s="8">
        <v>103.054</v>
      </c>
      <c r="P61" s="8">
        <v>214.99600000000001</v>
      </c>
    </row>
    <row r="62" spans="2:16">
      <c r="B62" s="2" t="s">
        <v>107</v>
      </c>
      <c r="C62" s="54" t="s">
        <v>4</v>
      </c>
      <c r="D62" s="47" t="s">
        <v>5</v>
      </c>
      <c r="E62" s="47" t="s">
        <v>6</v>
      </c>
      <c r="F62" s="47" t="s">
        <v>7</v>
      </c>
      <c r="G62" s="47" t="s">
        <v>8</v>
      </c>
      <c r="H62" s="47" t="s">
        <v>147</v>
      </c>
      <c r="I62" s="74"/>
      <c r="J62" s="90" t="s">
        <v>108</v>
      </c>
      <c r="K62" s="8">
        <v>89.6</v>
      </c>
      <c r="L62" s="8">
        <v>55</v>
      </c>
      <c r="M62" s="8">
        <v>63.1</v>
      </c>
      <c r="N62" s="8">
        <v>117.383</v>
      </c>
      <c r="O62" s="8">
        <v>112.205</v>
      </c>
      <c r="P62" s="8">
        <v>190.19800000000001</v>
      </c>
    </row>
    <row r="63" spans="2:16">
      <c r="B63" s="7" t="s">
        <v>109</v>
      </c>
      <c r="C63" s="55">
        <f t="shared" ref="C63:H63" si="20">C56</f>
        <v>-437</v>
      </c>
      <c r="D63" s="55">
        <f t="shared" si="20"/>
        <v>2501.1999999999998</v>
      </c>
      <c r="E63" s="55">
        <f t="shared" si="20"/>
        <v>2163.6</v>
      </c>
      <c r="F63" s="55">
        <f t="shared" si="20"/>
        <v>3315.6149999999998</v>
      </c>
      <c r="G63" s="55">
        <f t="shared" si="20"/>
        <v>2619.3150000000001</v>
      </c>
      <c r="H63" s="55">
        <f t="shared" si="20"/>
        <v>299.86099999999999</v>
      </c>
      <c r="I63" s="74"/>
      <c r="J63" s="90" t="s">
        <v>110</v>
      </c>
      <c r="K63" s="8">
        <v>75</v>
      </c>
      <c r="L63" s="38">
        <v>35.200000000000003</v>
      </c>
      <c r="M63" s="38">
        <v>0</v>
      </c>
      <c r="N63" s="38">
        <v>11.449</v>
      </c>
      <c r="O63" s="38" t="s">
        <v>42</v>
      </c>
      <c r="P63" s="38">
        <v>32.520000000000003</v>
      </c>
    </row>
    <row r="64" spans="2:16">
      <c r="B64" s="56" t="s">
        <v>111</v>
      </c>
      <c r="C64" s="55"/>
      <c r="D64" s="55">
        <f>L19-K19+D19</f>
        <v>2067.4</v>
      </c>
      <c r="E64" s="55">
        <f>M19-L19+E19</f>
        <v>1447.2000000000012</v>
      </c>
      <c r="F64" s="55">
        <v>4020.375</v>
      </c>
      <c r="G64" s="55">
        <f>4093.668</f>
        <v>4093.6680000000001</v>
      </c>
      <c r="H64" s="55">
        <v>1231.9549999999999</v>
      </c>
      <c r="I64" s="74"/>
      <c r="J64" s="91" t="s">
        <v>112</v>
      </c>
      <c r="K64" s="5">
        <f>SUM(K58:K63)+K55</f>
        <v>5806.6</v>
      </c>
      <c r="L64" s="5">
        <f>SUM(L58:L63)+L55+L56</f>
        <v>6006.1999999999989</v>
      </c>
      <c r="M64" s="5">
        <f>SUM(M58:M63)+M55+M56</f>
        <v>6943.7999999999993</v>
      </c>
      <c r="N64" s="5">
        <f>SUM(N58:N63)+N55+N56</f>
        <v>6530.74</v>
      </c>
      <c r="O64" s="5">
        <f>SUM(O58:O63)+O55+O56</f>
        <v>9375.6999999999989</v>
      </c>
      <c r="P64" s="5">
        <f>SUM(P58:P63)+P55+P56</f>
        <v>11792.081000000002</v>
      </c>
    </row>
    <row r="65" spans="2:16">
      <c r="B65" s="4" t="s">
        <v>113</v>
      </c>
      <c r="C65" s="57">
        <f t="shared" ref="C65:H65" si="21">C63-C64</f>
        <v>-437</v>
      </c>
      <c r="D65" s="57">
        <f t="shared" si="21"/>
        <v>433.79999999999973</v>
      </c>
      <c r="E65" s="57">
        <f t="shared" si="21"/>
        <v>716.39999999999873</v>
      </c>
      <c r="F65" s="57">
        <f t="shared" si="21"/>
        <v>-704.76000000000022</v>
      </c>
      <c r="G65" s="5">
        <f t="shared" si="21"/>
        <v>-1474.3530000000001</v>
      </c>
      <c r="H65" s="5">
        <f t="shared" si="21"/>
        <v>-932.09399999999994</v>
      </c>
      <c r="I65" s="74"/>
      <c r="J65" s="90"/>
      <c r="K65" s="8"/>
      <c r="L65" s="8"/>
      <c r="M65" s="8"/>
      <c r="N65" s="8"/>
      <c r="O65" s="8"/>
      <c r="P65" s="8"/>
    </row>
    <row r="66" spans="2:16">
      <c r="F66" s="58"/>
      <c r="G66" s="58"/>
      <c r="H66" s="74"/>
      <c r="I66" s="74"/>
      <c r="J66" s="91" t="s">
        <v>114</v>
      </c>
      <c r="K66" s="5">
        <f t="shared" ref="K66:P66" si="22">K43-K64</f>
        <v>4474.9000000000015</v>
      </c>
      <c r="L66" s="5">
        <f t="shared" si="22"/>
        <v>5623.8000000000011</v>
      </c>
      <c r="M66" s="5">
        <f t="shared" si="22"/>
        <v>6512.4279999999981</v>
      </c>
      <c r="N66" s="5">
        <f t="shared" si="22"/>
        <v>6651.1739999999991</v>
      </c>
      <c r="O66" s="5">
        <f t="shared" si="22"/>
        <v>4597.2180000000008</v>
      </c>
      <c r="P66" s="5">
        <f t="shared" si="22"/>
        <v>4773.4160000000011</v>
      </c>
    </row>
    <row r="67" spans="2:16">
      <c r="B67" s="2" t="s">
        <v>115</v>
      </c>
      <c r="C67" s="47" t="s">
        <v>4</v>
      </c>
      <c r="D67" s="47" t="s">
        <v>5</v>
      </c>
      <c r="E67" s="47" t="s">
        <v>6</v>
      </c>
      <c r="F67" s="59" t="s">
        <v>7</v>
      </c>
      <c r="G67" s="47" t="s">
        <v>8</v>
      </c>
      <c r="H67" s="47" t="s">
        <v>147</v>
      </c>
      <c r="I67" s="74"/>
      <c r="J67" s="90"/>
      <c r="K67" s="8"/>
      <c r="L67" s="8"/>
      <c r="M67" s="8"/>
      <c r="N67" s="8"/>
      <c r="O67" s="8"/>
      <c r="P67" s="8"/>
    </row>
    <row r="68" spans="2:16">
      <c r="B68" s="7" t="s">
        <v>116</v>
      </c>
      <c r="C68" s="42">
        <v>0</v>
      </c>
      <c r="D68" s="60">
        <f>90626008/1000000</f>
        <v>90.626007999999999</v>
      </c>
      <c r="E68" s="60">
        <f>90626008/1000000</f>
        <v>90.626007999999999</v>
      </c>
      <c r="F68" s="60">
        <f>90634624/1000000</f>
        <v>90.634624000000002</v>
      </c>
      <c r="G68" s="60">
        <f>90657751/1000000</f>
        <v>90.657751000000005</v>
      </c>
      <c r="H68" s="108">
        <f>90679813/1000000</f>
        <v>90.679812999999996</v>
      </c>
      <c r="I68" s="74"/>
      <c r="J68" s="91" t="s">
        <v>117</v>
      </c>
      <c r="K68" s="5">
        <f t="shared" ref="K68:P68" si="23">K43+K30</f>
        <v>20399.099999999999</v>
      </c>
      <c r="L68" s="5">
        <f t="shared" si="23"/>
        <v>22440.1</v>
      </c>
      <c r="M68" s="5">
        <f t="shared" si="23"/>
        <v>25820.827999999998</v>
      </c>
      <c r="N68" s="5">
        <f t="shared" si="23"/>
        <v>29024.294000000002</v>
      </c>
      <c r="O68" s="5">
        <f t="shared" si="23"/>
        <v>34817.060000000005</v>
      </c>
      <c r="P68" s="5">
        <f t="shared" si="23"/>
        <v>38258.752000000008</v>
      </c>
    </row>
    <row r="69" spans="2:16">
      <c r="B69" s="7" t="s">
        <v>118</v>
      </c>
      <c r="C69" s="42">
        <v>0</v>
      </c>
      <c r="D69" s="61">
        <v>5</v>
      </c>
      <c r="E69" s="7">
        <v>5</v>
      </c>
      <c r="F69" s="7">
        <v>5</v>
      </c>
      <c r="G69" s="7">
        <v>5</v>
      </c>
      <c r="H69" s="7">
        <v>5</v>
      </c>
      <c r="I69" s="74"/>
      <c r="J69" s="91" t="s">
        <v>119</v>
      </c>
      <c r="K69" s="5">
        <f t="shared" ref="K69:P69" si="24">K52+K64</f>
        <v>6534.1</v>
      </c>
      <c r="L69" s="5">
        <f t="shared" si="24"/>
        <v>6855.2999999999993</v>
      </c>
      <c r="M69" s="5">
        <f t="shared" si="24"/>
        <v>8250.5999999999985</v>
      </c>
      <c r="N69" s="5">
        <f t="shared" si="24"/>
        <v>9125.2309999999998</v>
      </c>
      <c r="O69" s="5">
        <f t="shared" si="24"/>
        <v>13571.009999999998</v>
      </c>
      <c r="P69" s="5">
        <f t="shared" si="24"/>
        <v>15711.105000000003</v>
      </c>
    </row>
    <row r="70" spans="2:16">
      <c r="B70" s="56" t="s">
        <v>120</v>
      </c>
      <c r="C70" s="42">
        <v>0</v>
      </c>
      <c r="D70" s="62">
        <f>L73*D68</f>
        <v>24890.433097199999</v>
      </c>
      <c r="E70" s="62">
        <f>M73*E68</f>
        <v>39422.313479999997</v>
      </c>
      <c r="F70" s="62">
        <f>N73*F68</f>
        <v>67844.547795199993</v>
      </c>
      <c r="G70" s="62">
        <f>O73*G68</f>
        <v>53420.079776750004</v>
      </c>
      <c r="H70" s="62">
        <f>P73*H68</f>
        <v>86349.851929249999</v>
      </c>
      <c r="I70" s="74"/>
      <c r="J70" s="91" t="s">
        <v>121</v>
      </c>
      <c r="K70" s="5">
        <f t="shared" ref="K70:P70" si="25">K69+K7</f>
        <v>20398.900000000001</v>
      </c>
      <c r="L70" s="5">
        <f t="shared" si="25"/>
        <v>22440.1</v>
      </c>
      <c r="M70" s="5">
        <f t="shared" si="25"/>
        <v>25820.999999999996</v>
      </c>
      <c r="N70" s="5">
        <f t="shared" si="25"/>
        <v>29024.294999999998</v>
      </c>
      <c r="O70" s="5">
        <f t="shared" si="25"/>
        <v>34817.057000000001</v>
      </c>
      <c r="P70" s="5">
        <f t="shared" si="25"/>
        <v>38258.752000000008</v>
      </c>
    </row>
    <row r="71" spans="2:16">
      <c r="B71" s="56" t="s">
        <v>122</v>
      </c>
      <c r="C71" s="55">
        <f t="shared" ref="C71:G71" si="26">K12</f>
        <v>3382.8</v>
      </c>
      <c r="D71" s="55">
        <f t="shared" si="26"/>
        <v>2143.3000000000002</v>
      </c>
      <c r="E71" s="55">
        <f t="shared" si="26"/>
        <v>2641</v>
      </c>
      <c r="F71" s="55">
        <f t="shared" si="26"/>
        <v>3963.5230000000001</v>
      </c>
      <c r="G71" s="55">
        <f t="shared" si="26"/>
        <v>6856.3439999999991</v>
      </c>
      <c r="H71" s="55">
        <f>P12</f>
        <v>8364.7440000000006</v>
      </c>
      <c r="I71" s="74"/>
      <c r="K71" s="14"/>
      <c r="L71" s="14"/>
      <c r="M71" s="14"/>
    </row>
    <row r="72" spans="2:16">
      <c r="B72" s="56" t="s">
        <v>123</v>
      </c>
      <c r="C72" s="55">
        <f t="shared" ref="C72:H72" si="27">K37+K38</f>
        <v>832.7</v>
      </c>
      <c r="D72" s="55">
        <f t="shared" si="27"/>
        <v>121.9</v>
      </c>
      <c r="E72" s="55">
        <f t="shared" si="27"/>
        <v>240.60000000000002</v>
      </c>
      <c r="F72" s="55">
        <f t="shared" si="27"/>
        <v>86.456000000000003</v>
      </c>
      <c r="G72" s="55">
        <f t="shared" si="27"/>
        <v>96.158999999999992</v>
      </c>
      <c r="H72" s="55">
        <f t="shared" si="27"/>
        <v>232.911</v>
      </c>
      <c r="I72" s="74"/>
      <c r="J72" s="89" t="s">
        <v>124</v>
      </c>
      <c r="K72" s="47" t="s">
        <v>4</v>
      </c>
      <c r="L72" s="47" t="s">
        <v>5</v>
      </c>
      <c r="M72" s="47" t="s">
        <v>6</v>
      </c>
      <c r="N72" s="47" t="s">
        <v>7</v>
      </c>
      <c r="O72" s="47" t="s">
        <v>8</v>
      </c>
      <c r="P72" s="47" t="s">
        <v>147</v>
      </c>
    </row>
    <row r="73" spans="2:16">
      <c r="B73" s="4" t="s">
        <v>125</v>
      </c>
      <c r="C73" s="63">
        <f t="shared" ref="C73:G73" si="28">SUM(C70:C71)-C72</f>
        <v>2550.1000000000004</v>
      </c>
      <c r="D73" s="63">
        <f t="shared" si="28"/>
        <v>26911.833097199997</v>
      </c>
      <c r="E73" s="63">
        <f t="shared" si="28"/>
        <v>41822.713479999999</v>
      </c>
      <c r="F73" s="63">
        <f t="shared" si="28"/>
        <v>71721.614795199988</v>
      </c>
      <c r="G73" s="63">
        <f t="shared" si="28"/>
        <v>60180.264776750002</v>
      </c>
      <c r="H73" s="63">
        <f>SUM(H70:H71)-H72</f>
        <v>94481.684929250012</v>
      </c>
      <c r="I73" s="74"/>
      <c r="J73" s="90" t="s">
        <v>126</v>
      </c>
      <c r="K73" s="11"/>
      <c r="L73" s="11">
        <v>274.64999999999998</v>
      </c>
      <c r="M73" s="11">
        <v>435</v>
      </c>
      <c r="N73" s="11">
        <v>748.55</v>
      </c>
      <c r="O73" s="11">
        <v>589.25</v>
      </c>
      <c r="P73" s="11">
        <v>952.25</v>
      </c>
    </row>
    <row r="74" spans="2:16">
      <c r="H74" s="74"/>
      <c r="I74" s="1"/>
      <c r="J74" s="35" t="s">
        <v>127</v>
      </c>
      <c r="K74" s="11">
        <f t="shared" ref="K74:O74" si="29">C50</f>
        <v>13.49</v>
      </c>
      <c r="L74" s="11">
        <f t="shared" si="29"/>
        <v>21.35</v>
      </c>
      <c r="M74" s="11">
        <f t="shared" si="29"/>
        <v>23.93</v>
      </c>
      <c r="N74" s="11">
        <f t="shared" si="29"/>
        <v>30.04</v>
      </c>
      <c r="O74" s="11">
        <f t="shared" si="29"/>
        <v>19.25</v>
      </c>
      <c r="P74" s="11">
        <f>H50</f>
        <v>16.260000000000002</v>
      </c>
    </row>
    <row r="75" spans="2:16">
      <c r="H75" s="74"/>
      <c r="I75" s="1"/>
      <c r="J75" s="35" t="s">
        <v>128</v>
      </c>
      <c r="K75" s="11">
        <v>0</v>
      </c>
      <c r="L75" s="11">
        <f>L8/D68</f>
        <v>171.96829413472565</v>
      </c>
      <c r="M75" s="11">
        <f>M8/E68</f>
        <v>193.878119402545</v>
      </c>
      <c r="N75" s="11">
        <f>N8/F68</f>
        <v>219.55256304698742</v>
      </c>
      <c r="O75" s="11">
        <f>O8/G68</f>
        <v>234.35444587633771</v>
      </c>
      <c r="P75" s="11">
        <f>P8/H68</f>
        <v>248.651229574106</v>
      </c>
    </row>
    <row r="76" spans="2:16">
      <c r="H76" s="74"/>
      <c r="I76" s="1"/>
      <c r="J76" s="35" t="s">
        <v>129</v>
      </c>
      <c r="K76" s="11">
        <v>0</v>
      </c>
      <c r="L76" s="11">
        <v>0</v>
      </c>
      <c r="M76" s="23">
        <v>2</v>
      </c>
      <c r="N76" s="23">
        <v>2.5</v>
      </c>
      <c r="O76" s="23">
        <v>4</v>
      </c>
      <c r="P76" s="23" t="s">
        <v>146</v>
      </c>
    </row>
    <row r="77" spans="2:16">
      <c r="H77" s="74"/>
      <c r="I77" s="1"/>
      <c r="J77" s="35" t="s">
        <v>130</v>
      </c>
      <c r="K77" s="11">
        <f t="shared" ref="K77:O77" si="30">K73/K74</f>
        <v>0</v>
      </c>
      <c r="L77" s="11">
        <f t="shared" si="30"/>
        <v>12.864168618266977</v>
      </c>
      <c r="M77" s="11">
        <f t="shared" si="30"/>
        <v>18.178019222732971</v>
      </c>
      <c r="N77" s="11">
        <f t="shared" si="30"/>
        <v>24.91844207723036</v>
      </c>
      <c r="O77" s="11">
        <f t="shared" si="30"/>
        <v>30.61038961038961</v>
      </c>
      <c r="P77" s="11">
        <f>P73/P74</f>
        <v>58.563960639606393</v>
      </c>
    </row>
    <row r="78" spans="2:16">
      <c r="H78" s="74"/>
      <c r="I78" s="1"/>
      <c r="J78" s="35" t="s">
        <v>131</v>
      </c>
      <c r="K78" s="11">
        <v>0</v>
      </c>
      <c r="L78" s="11">
        <f>L73/L75</f>
        <v>1.5970967286843589</v>
      </c>
      <c r="M78" s="64">
        <f>M73/M75</f>
        <v>2.2436776328370445</v>
      </c>
      <c r="N78" s="64">
        <f>N73/N75</f>
        <v>3.4094341218863358</v>
      </c>
      <c r="O78" s="64">
        <f>O73/O75</f>
        <v>2.5143538361159607</v>
      </c>
      <c r="P78" s="64">
        <f>P73/P75</f>
        <v>3.8296613358036868</v>
      </c>
    </row>
    <row r="79" spans="2:16">
      <c r="H79" s="74"/>
      <c r="I79" s="1"/>
      <c r="J79" s="35" t="s">
        <v>132</v>
      </c>
      <c r="K79" s="11">
        <f t="shared" ref="K79:O79" si="31">C73/C13</f>
        <v>1.2322300072481278</v>
      </c>
      <c r="L79" s="11">
        <f t="shared" si="31"/>
        <v>7.8680368077417846</v>
      </c>
      <c r="M79" s="11">
        <f t="shared" si="31"/>
        <v>10.833777194073159</v>
      </c>
      <c r="N79" s="11">
        <f t="shared" si="31"/>
        <v>15.444905286918393</v>
      </c>
      <c r="O79" s="23">
        <f t="shared" si="31"/>
        <v>14.954676391408736</v>
      </c>
      <c r="P79" s="23">
        <f>H73/H13</f>
        <v>35.350558414839362</v>
      </c>
    </row>
    <row r="80" spans="2:16">
      <c r="H80" s="74"/>
      <c r="I80" s="1"/>
      <c r="J80" s="35" t="s">
        <v>133</v>
      </c>
      <c r="K80" s="11">
        <v>0</v>
      </c>
      <c r="L80" s="11">
        <f>D5/AVERAGE(K70:L70)</f>
        <v>0.90815845374541881</v>
      </c>
      <c r="M80" s="11">
        <f>E5/AVERAGE(L70:M70)</f>
        <v>0.76774462248063147</v>
      </c>
      <c r="N80" s="11">
        <f>F5/AVERAGE(M70:N70)</f>
        <v>0.77128749147944231</v>
      </c>
      <c r="O80" s="23">
        <f>G5/AVERAGE(N68:O68)</f>
        <v>0.5699886941620943</v>
      </c>
      <c r="P80" s="23" t="s">
        <v>146</v>
      </c>
    </row>
    <row r="81" spans="3:17">
      <c r="H81" s="74"/>
      <c r="I81" s="1"/>
      <c r="J81" s="35" t="s">
        <v>134</v>
      </c>
      <c r="K81" s="65">
        <f t="shared" ref="K81:O81" si="32">C36/K8</f>
        <v>8.8172927124805262E-2</v>
      </c>
      <c r="L81" s="65">
        <f t="shared" si="32"/>
        <v>0.12414660438375848</v>
      </c>
      <c r="M81" s="65">
        <f t="shared" si="32"/>
        <v>0.12344055912215988</v>
      </c>
      <c r="N81" s="65">
        <f t="shared" si="32"/>
        <v>0.13689322271640528</v>
      </c>
      <c r="O81" s="66">
        <f t="shared" si="32"/>
        <v>8.2230920415454128E-2</v>
      </c>
      <c r="P81" s="66">
        <f>H36/P8</f>
        <v>6.5467984308961294E-2</v>
      </c>
    </row>
    <row r="82" spans="3:17">
      <c r="H82" s="74"/>
      <c r="I82" s="1"/>
      <c r="J82" s="35" t="s">
        <v>135</v>
      </c>
      <c r="K82" s="66">
        <f t="shared" ref="K82:O82" si="33">(C13-C19)/K14</f>
        <v>9.5566919455460461E-2</v>
      </c>
      <c r="L82" s="66">
        <f t="shared" si="33"/>
        <v>0.15765930923223578</v>
      </c>
      <c r="M82" s="66">
        <f t="shared" si="33"/>
        <v>0.15476414300840111</v>
      </c>
      <c r="N82" s="66">
        <f t="shared" si="33"/>
        <v>0.15818347775955735</v>
      </c>
      <c r="O82" s="66">
        <f t="shared" si="33"/>
        <v>0.10607019167870796</v>
      </c>
      <c r="P82" s="66">
        <f>(H13-H19)/P14</f>
        <v>6.6871501463603975E-2</v>
      </c>
    </row>
    <row r="83" spans="3:17">
      <c r="H83" s="74"/>
      <c r="I83" s="1"/>
      <c r="J83" s="35" t="s">
        <v>136</v>
      </c>
      <c r="K83" s="11">
        <f t="shared" ref="K83:N83" si="34">K12/K8</f>
        <v>0.24398476718019732</v>
      </c>
      <c r="L83" s="11">
        <f t="shared" si="34"/>
        <v>0.1375250243827319</v>
      </c>
      <c r="M83" s="11">
        <f t="shared" si="34"/>
        <v>0.15030961161954198</v>
      </c>
      <c r="N83" s="11">
        <f t="shared" si="34"/>
        <v>0.19918137858142476</v>
      </c>
      <c r="O83" s="11">
        <f t="shared" ref="O83:P83" si="35">O12/O8</f>
        <v>0.32271151428781075</v>
      </c>
      <c r="P83" s="11">
        <f t="shared" si="35"/>
        <v>0.37098079458135919</v>
      </c>
      <c r="Q83" s="109"/>
    </row>
    <row r="84" spans="3:17">
      <c r="C84" t="s">
        <v>137</v>
      </c>
      <c r="H84" s="74"/>
      <c r="I84" s="1"/>
      <c r="J84" s="35" t="s">
        <v>138</v>
      </c>
      <c r="K84" s="11">
        <f t="shared" ref="K84:O84" si="36">(K12-C72)/K14</f>
        <v>0.14785245483429579</v>
      </c>
      <c r="L84" s="11">
        <f t="shared" si="36"/>
        <v>0.11402237126369999</v>
      </c>
      <c r="M84" s="11">
        <f t="shared" si="36"/>
        <v>0.11876465756949051</v>
      </c>
      <c r="N84" s="11">
        <f t="shared" si="36"/>
        <v>0.16247471407856995</v>
      </c>
      <c r="O84" s="11">
        <f t="shared" si="36"/>
        <v>0.24055551002759867</v>
      </c>
      <c r="P84" s="11">
        <f>(P12-H72)/P14</f>
        <v>0.26306062834156052</v>
      </c>
      <c r="Q84" s="14"/>
    </row>
    <row r="85" spans="3:17">
      <c r="H85" s="74"/>
      <c r="I85" s="1"/>
      <c r="J85" s="35" t="s">
        <v>139</v>
      </c>
      <c r="K85" s="11">
        <v>0</v>
      </c>
      <c r="L85" s="67">
        <f>L76/L73</f>
        <v>0</v>
      </c>
      <c r="M85" s="67">
        <f>M76/M73</f>
        <v>4.5977011494252873E-3</v>
      </c>
      <c r="N85" s="67">
        <f>N76/N73</f>
        <v>3.3397902611715987E-3</v>
      </c>
      <c r="O85" s="67">
        <f>O76/O73</f>
        <v>6.7882901994060245E-3</v>
      </c>
      <c r="P85" s="23" t="s">
        <v>146</v>
      </c>
      <c r="Q85" s="14"/>
    </row>
    <row r="86" spans="3:17">
      <c r="H86" s="74"/>
      <c r="I86" s="1"/>
      <c r="J86" s="35" t="s">
        <v>140</v>
      </c>
      <c r="K86" s="68">
        <f t="shared" ref="K86:N86" si="37">(C13-C20)/C20</f>
        <v>16.303511705685619</v>
      </c>
      <c r="L86" s="68">
        <f t="shared" si="37"/>
        <v>15.248931116389548</v>
      </c>
      <c r="M86" s="68">
        <f t="shared" si="37"/>
        <v>21.431144683323637</v>
      </c>
      <c r="N86" s="68">
        <f t="shared" si="37"/>
        <v>16.26516188040036</v>
      </c>
      <c r="O86" s="68">
        <f>(G13-G20)/G20</f>
        <v>7.5798225265868933</v>
      </c>
      <c r="P86" s="23" t="s">
        <v>146</v>
      </c>
      <c r="Q86" s="110"/>
    </row>
    <row r="87" spans="3:17">
      <c r="H87" s="74"/>
      <c r="I87" s="1"/>
      <c r="J87" s="35" t="s">
        <v>141</v>
      </c>
      <c r="K87" s="11">
        <f>AVERAGE(K36:K36)/C5*365</f>
        <v>114.57314532393286</v>
      </c>
      <c r="L87" s="11">
        <f>AVERAGE(K36:L36)/D5*365</f>
        <v>77.565994766685691</v>
      </c>
      <c r="M87" s="11">
        <f>AVERAGE(L36:M36)/E5*365</f>
        <v>95.499214621533952</v>
      </c>
      <c r="N87" s="11">
        <f>AVERAGE(M36:N36)/F5*365</f>
        <v>94.460458839629538</v>
      </c>
      <c r="O87" s="69">
        <f>AVERAGE(N36:O36)/G5*365</f>
        <v>116.22684462410876</v>
      </c>
      <c r="P87" s="23" t="s">
        <v>146</v>
      </c>
    </row>
    <row r="88" spans="3:17">
      <c r="H88" s="74"/>
      <c r="I88" s="1"/>
      <c r="J88" s="35" t="s">
        <v>142</v>
      </c>
      <c r="K88" s="11">
        <f>(AVERAGE(K57:K57)/(C8+C9+C10)*365)</f>
        <v>108.0135427728207</v>
      </c>
      <c r="L88" s="11">
        <f>(AVERAGE(K57:L57)/(D8+D9+D10)*365)</f>
        <v>86.444740801531935</v>
      </c>
      <c r="M88" s="11">
        <f>(AVERAGE(L57:M57)/(E8+E9+E10)*365)</f>
        <v>128.34288541421742</v>
      </c>
      <c r="N88" s="11">
        <f>(AVERAGE(M57:N57)/(F8+F9+F10)*365)</f>
        <v>111.22195173375266</v>
      </c>
      <c r="O88" s="69">
        <f>(AVERAGE(N57:O57)/(G8+G9+G10)*365)</f>
        <v>133.8681515595226</v>
      </c>
      <c r="P88" s="23" t="s">
        <v>146</v>
      </c>
    </row>
    <row r="89" spans="3:17">
      <c r="H89" s="74"/>
      <c r="I89" s="1"/>
      <c r="J89" s="35" t="s">
        <v>143</v>
      </c>
      <c r="K89" s="11">
        <f>AVERAGE(K33:K33)/(C9+C10+C8)*365</f>
        <v>239.32817089820855</v>
      </c>
      <c r="L89" s="11">
        <f>AVERAGE(K33:L33)/(D9+D10+D8)*365</f>
        <v>168.10450434277115</v>
      </c>
      <c r="M89" s="11">
        <f>AVERAGE(L33:M33)/(E9+E10+E8)*365</f>
        <v>222.58234383572378</v>
      </c>
      <c r="N89" s="11">
        <f>AVERAGE(M33:N33)/(F9+F10+F8)*365</f>
        <v>208.56783987041325</v>
      </c>
      <c r="O89" s="69">
        <f>AVERAGE(N33:O33)/(G9+G10+G8)*365</f>
        <v>268.42441159447088</v>
      </c>
      <c r="P89" s="23" t="s">
        <v>146</v>
      </c>
    </row>
    <row r="90" spans="3:17">
      <c r="H90" s="74"/>
      <c r="I90" s="1"/>
      <c r="J90" s="35" t="s">
        <v>144</v>
      </c>
      <c r="K90" s="11">
        <f t="shared" ref="K90:O90" si="38">K89+K87-K88</f>
        <v>245.88777344932072</v>
      </c>
      <c r="L90" s="11">
        <f t="shared" si="38"/>
        <v>159.22575830792491</v>
      </c>
      <c r="M90" s="11">
        <f t="shared" si="38"/>
        <v>189.73867304304034</v>
      </c>
      <c r="N90" s="11">
        <f t="shared" si="38"/>
        <v>191.80634697629014</v>
      </c>
      <c r="O90" s="23">
        <f t="shared" si="38"/>
        <v>250.78310465905705</v>
      </c>
      <c r="P90" s="23" t="s">
        <v>146</v>
      </c>
    </row>
    <row r="91" spans="3:17">
      <c r="H91" s="74"/>
      <c r="I91" s="1"/>
      <c r="J91" s="35" t="s">
        <v>145</v>
      </c>
      <c r="K91" s="11">
        <f>(K43-K64)*365/C5</f>
        <v>136.11834758404592</v>
      </c>
      <c r="L91" s="11">
        <f>(L43-L64)*365/D5</f>
        <v>105.52412825218615</v>
      </c>
      <c r="M91" s="11">
        <f>(M43-M64)*365/E5</f>
        <v>128.30742681946009</v>
      </c>
      <c r="N91" s="11">
        <f>(N43-N64)*365/F5</f>
        <v>114.77981082935848</v>
      </c>
      <c r="O91" s="23">
        <f>(O43-O64)/G5*365</f>
        <v>92.225204698692067</v>
      </c>
      <c r="P91" s="23" t="s">
        <v>146</v>
      </c>
    </row>
    <row r="92" spans="3:17">
      <c r="H92" s="74"/>
      <c r="I92" s="1"/>
      <c r="N92" s="70"/>
      <c r="O92" s="71"/>
      <c r="P92" s="71"/>
    </row>
    <row r="93" spans="3:17">
      <c r="H93" s="74"/>
      <c r="I93" s="1"/>
      <c r="K93" s="70"/>
      <c r="L93" s="70"/>
      <c r="M93" s="70"/>
      <c r="N93" s="72"/>
      <c r="O93" s="73"/>
      <c r="P93" s="73"/>
    </row>
    <row r="94" spans="3:17">
      <c r="H94" s="74"/>
      <c r="I94" s="1"/>
      <c r="N94" s="70"/>
      <c r="O94" s="70"/>
      <c r="P94" s="70"/>
    </row>
    <row r="112" spans="5:7">
      <c r="E112" s="8"/>
      <c r="F112" s="14"/>
      <c r="G112" s="14"/>
    </row>
    <row r="113" spans="5:5">
      <c r="E113" s="7"/>
    </row>
  </sheetData>
  <mergeCells count="3">
    <mergeCell ref="B2:N2"/>
    <mergeCell ref="B3:G3"/>
    <mergeCell ref="J3:N3"/>
  </mergeCells>
  <pageMargins left="0.7" right="0.7" top="0.75" bottom="0.75" header="0.511811023622047" footer="0.511811023622047"/>
  <pageSetup fitToWidth="0" orientation="portrait" horizontalDpi="300" verticalDpi="300" r:id="rId1"/>
  <ignoredErrors>
    <ignoredError sqref="G60" formula="1"/>
    <ignoredError sqref="K57:P57 L87:O88 L89:O89 K12:P1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V16</dc:creator>
  <dc:description/>
  <cp:lastModifiedBy>HP</cp:lastModifiedBy>
  <cp:revision>0</cp:revision>
  <cp:lastPrinted>2023-11-24T05:57:13Z</cp:lastPrinted>
  <dcterms:created xsi:type="dcterms:W3CDTF">2023-11-23T05:15:14Z</dcterms:created>
  <dcterms:modified xsi:type="dcterms:W3CDTF">2026-11-02T04:24:39Z</dcterms:modified>
  <dc:language>en-US</dc:language>
</cp:coreProperties>
</file>