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ELL\Desktop\Harshit\Supreme Petrochem\Summary Sheet\Q2-FY27\"/>
    </mc:Choice>
  </mc:AlternateContent>
  <xr:revisionPtr revIDLastSave="0" documentId="8_{70E72C17-27A7-46A5-AABC-8F26853B1791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Chart1" sheetId="2" state="hidden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69" i="1" l="1"/>
  <c r="AA63" i="1"/>
  <c r="AA62" i="1"/>
  <c r="AA60" i="1"/>
  <c r="AA59" i="1"/>
  <c r="AA40" i="1"/>
  <c r="AA54" i="1" s="1"/>
  <c r="AA53" i="1"/>
  <c r="AA29" i="1"/>
  <c r="AA15" i="1"/>
  <c r="AA11" i="1"/>
  <c r="AA12" i="1"/>
  <c r="AA6" i="1"/>
  <c r="M54" i="1"/>
  <c r="M53" i="1"/>
  <c r="M51" i="1"/>
  <c r="M47" i="1"/>
  <c r="M46" i="1"/>
  <c r="M45" i="1"/>
  <c r="L42" i="1"/>
  <c r="M37" i="1" s="1"/>
  <c r="M42" i="1" s="1"/>
  <c r="M41" i="1"/>
  <c r="M26" i="1"/>
  <c r="M21" i="1"/>
  <c r="M17" i="1"/>
  <c r="M14" i="1"/>
  <c r="M7" i="1"/>
  <c r="AA10" i="1"/>
  <c r="M52" i="1" s="1"/>
  <c r="M55" i="1" s="1"/>
  <c r="K53" i="1"/>
  <c r="L51" i="1"/>
  <c r="Z70" i="1"/>
  <c r="Z74" i="1"/>
  <c r="Y70" i="1"/>
  <c r="W70" i="1"/>
  <c r="V70" i="1"/>
  <c r="U70" i="1"/>
  <c r="T70" i="1"/>
  <c r="S70" i="1"/>
  <c r="R70" i="1"/>
  <c r="Q70" i="1"/>
  <c r="Z69" i="1"/>
  <c r="Z59" i="1"/>
  <c r="Z29" i="1"/>
  <c r="L46" i="1"/>
  <c r="K41" i="1"/>
  <c r="L41" i="1"/>
  <c r="F46" i="1"/>
  <c r="L54" i="1"/>
  <c r="L53" i="1"/>
  <c r="L45" i="1"/>
  <c r="L22" i="1"/>
  <c r="AA67" i="1" l="1"/>
  <c r="AA68" i="1"/>
  <c r="AA48" i="1"/>
  <c r="M23" i="1"/>
  <c r="M28" i="1" s="1"/>
  <c r="L47" i="1"/>
  <c r="Z42" i="1"/>
  <c r="Z40" i="1" s="1"/>
  <c r="Z24" i="1"/>
  <c r="Z15" i="1" s="1"/>
  <c r="Z53" i="1" s="1"/>
  <c r="L7" i="1"/>
  <c r="K7" i="1"/>
  <c r="K14" i="1" s="1"/>
  <c r="K21" i="1" s="1"/>
  <c r="Z62" i="1"/>
  <c r="Z72" i="1" l="1"/>
  <c r="L14" i="1"/>
  <c r="L15" i="1" s="1"/>
  <c r="Z48" i="1"/>
  <c r="L34" i="1"/>
  <c r="L33" i="1"/>
  <c r="L6" i="1"/>
  <c r="L5" i="1"/>
  <c r="L21" i="1" l="1"/>
  <c r="L17" i="1"/>
  <c r="Z10" i="1"/>
  <c r="L52" i="1" s="1"/>
  <c r="L55" i="1" s="1"/>
  <c r="Z6" i="1"/>
  <c r="Z11" i="1" s="1"/>
  <c r="L23" i="1" l="1"/>
  <c r="L28" i="1" s="1"/>
  <c r="Z66" i="1"/>
  <c r="Z60" i="1"/>
  <c r="Z63" i="1" s="1"/>
  <c r="Z54" i="1"/>
  <c r="Z67" i="1"/>
  <c r="Z68" i="1"/>
  <c r="Z12" i="1"/>
  <c r="K51" i="1"/>
  <c r="Y59" i="1"/>
  <c r="K45" i="1"/>
  <c r="K34" i="1"/>
  <c r="K33" i="1"/>
  <c r="K22" i="1"/>
  <c r="K6" i="1"/>
  <c r="L26" i="1" l="1"/>
  <c r="Z64" i="1"/>
  <c r="K17" i="1"/>
  <c r="K23" i="1"/>
  <c r="K28" i="1" s="1"/>
  <c r="X59" i="1"/>
  <c r="Y29" i="1"/>
  <c r="Y42" i="1"/>
  <c r="Z71" i="1" l="1"/>
  <c r="Z73" i="1" s="1"/>
  <c r="Y69" i="1"/>
  <c r="Z65" i="1" l="1"/>
  <c r="L24" i="1"/>
  <c r="J41" i="1"/>
  <c r="Y72" i="1" l="1"/>
  <c r="K54" i="1"/>
  <c r="J45" i="1"/>
  <c r="I41" i="1"/>
  <c r="I42" i="1" s="1"/>
  <c r="J37" i="1" s="1"/>
  <c r="J42" i="1" s="1"/>
  <c r="Y15" i="1"/>
  <c r="Y40" i="1"/>
  <c r="Y48" i="1" s="1"/>
  <c r="Z76" i="1" s="1"/>
  <c r="Y10" i="1"/>
  <c r="K52" i="1" s="1"/>
  <c r="Y6" i="1"/>
  <c r="Y60" i="1" s="1"/>
  <c r="W59" i="1"/>
  <c r="W62" i="1" s="1"/>
  <c r="W74" i="1"/>
  <c r="V74" i="1"/>
  <c r="U74" i="1"/>
  <c r="T74" i="1"/>
  <c r="S74" i="1"/>
  <c r="R74" i="1"/>
  <c r="Q74" i="1"/>
  <c r="X69" i="1"/>
  <c r="W69" i="1"/>
  <c r="V59" i="1"/>
  <c r="U59" i="1"/>
  <c r="T59" i="1"/>
  <c r="S59" i="1"/>
  <c r="R59" i="1"/>
  <c r="Q59" i="1"/>
  <c r="J54" i="1"/>
  <c r="I54" i="1"/>
  <c r="H54" i="1"/>
  <c r="G54" i="1"/>
  <c r="F54" i="1"/>
  <c r="E54" i="1"/>
  <c r="D54" i="1"/>
  <c r="C54" i="1"/>
  <c r="V58" i="1"/>
  <c r="V69" i="1" s="1"/>
  <c r="U58" i="1"/>
  <c r="U69" i="1" s="1"/>
  <c r="T58" i="1"/>
  <c r="T69" i="1" s="1"/>
  <c r="S58" i="1"/>
  <c r="S69" i="1" s="1"/>
  <c r="R58" i="1"/>
  <c r="R69" i="1" s="1"/>
  <c r="Q58" i="1"/>
  <c r="Q69" i="1" s="1"/>
  <c r="J53" i="1"/>
  <c r="I53" i="1"/>
  <c r="H53" i="1"/>
  <c r="G53" i="1"/>
  <c r="F53" i="1"/>
  <c r="E53" i="1"/>
  <c r="D53" i="1"/>
  <c r="C53" i="1"/>
  <c r="J50" i="1"/>
  <c r="J51" i="1" s="1"/>
  <c r="I50" i="1"/>
  <c r="I51" i="1" s="1"/>
  <c r="H50" i="1"/>
  <c r="H51" i="1" s="1"/>
  <c r="G50" i="1"/>
  <c r="G51" i="1" s="1"/>
  <c r="F50" i="1"/>
  <c r="F51" i="1" s="1"/>
  <c r="E50" i="1"/>
  <c r="D50" i="1"/>
  <c r="D51" i="1" s="1"/>
  <c r="C50" i="1"/>
  <c r="C51" i="1" s="1"/>
  <c r="I46" i="1"/>
  <c r="H46" i="1"/>
  <c r="G46" i="1"/>
  <c r="E46" i="1"/>
  <c r="D46" i="1"/>
  <c r="C46" i="1"/>
  <c r="I45" i="1"/>
  <c r="H45" i="1"/>
  <c r="G45" i="1"/>
  <c r="F45" i="1"/>
  <c r="E45" i="1"/>
  <c r="D45" i="1"/>
  <c r="C45" i="1"/>
  <c r="H41" i="1"/>
  <c r="H42" i="1" s="1"/>
  <c r="G41" i="1"/>
  <c r="G42" i="1" s="1"/>
  <c r="F41" i="1"/>
  <c r="F42" i="1" s="1"/>
  <c r="E41" i="1"/>
  <c r="E42" i="1" s="1"/>
  <c r="D41" i="1"/>
  <c r="D42" i="1" s="1"/>
  <c r="C41" i="1"/>
  <c r="C42" i="1" s="1"/>
  <c r="X43" i="1"/>
  <c r="X42" i="1"/>
  <c r="Y71" i="1" s="1"/>
  <c r="U42" i="1"/>
  <c r="U40" i="1" s="1"/>
  <c r="T42" i="1"/>
  <c r="T40" i="1" s="1"/>
  <c r="S42" i="1"/>
  <c r="S40" i="1" s="1"/>
  <c r="W40" i="1"/>
  <c r="V40" i="1"/>
  <c r="R40" i="1"/>
  <c r="Q40" i="1"/>
  <c r="J34" i="1"/>
  <c r="I34" i="1"/>
  <c r="H34" i="1"/>
  <c r="G34" i="1"/>
  <c r="F34" i="1"/>
  <c r="J33" i="1"/>
  <c r="I33" i="1"/>
  <c r="H33" i="1"/>
  <c r="G33" i="1"/>
  <c r="F33" i="1"/>
  <c r="E33" i="1"/>
  <c r="D33" i="1"/>
  <c r="J27" i="1"/>
  <c r="X29" i="1"/>
  <c r="W29" i="1"/>
  <c r="V29" i="1"/>
  <c r="U29" i="1"/>
  <c r="T29" i="1"/>
  <c r="S29" i="1"/>
  <c r="R29" i="1"/>
  <c r="Q29" i="1"/>
  <c r="J22" i="1"/>
  <c r="J19" i="1"/>
  <c r="J18" i="1"/>
  <c r="X16" i="1"/>
  <c r="W15" i="1"/>
  <c r="V15" i="1"/>
  <c r="U15" i="1"/>
  <c r="T15" i="1"/>
  <c r="S15" i="1"/>
  <c r="R15" i="1"/>
  <c r="Q15" i="1"/>
  <c r="J13" i="1"/>
  <c r="J12" i="1"/>
  <c r="J11" i="1"/>
  <c r="X10" i="1"/>
  <c r="W10" i="1"/>
  <c r="V10" i="1"/>
  <c r="H52" i="1" s="1"/>
  <c r="U10" i="1"/>
  <c r="G52" i="1" s="1"/>
  <c r="T10" i="1"/>
  <c r="S10" i="1"/>
  <c r="R10" i="1"/>
  <c r="D52" i="1" s="1"/>
  <c r="Q10" i="1"/>
  <c r="C52" i="1" s="1"/>
  <c r="J9" i="1"/>
  <c r="J8" i="1"/>
  <c r="I7" i="1"/>
  <c r="H7" i="1"/>
  <c r="H14" i="1" s="1"/>
  <c r="G7" i="1"/>
  <c r="F7" i="1"/>
  <c r="T72" i="1" s="1"/>
  <c r="E7" i="1"/>
  <c r="D7" i="1"/>
  <c r="C7" i="1"/>
  <c r="Q71" i="1" s="1"/>
  <c r="W6" i="1"/>
  <c r="V6" i="1"/>
  <c r="U6" i="1"/>
  <c r="U11" i="1" s="1"/>
  <c r="T6" i="1"/>
  <c r="S6" i="1"/>
  <c r="R6" i="1"/>
  <c r="Q6" i="1"/>
  <c r="Q11" i="1" s="1"/>
  <c r="I6" i="1"/>
  <c r="H6" i="1"/>
  <c r="G6" i="1"/>
  <c r="F6" i="1"/>
  <c r="X5" i="1"/>
  <c r="I5" i="1"/>
  <c r="H5" i="1"/>
  <c r="G5" i="1"/>
  <c r="F5" i="1"/>
  <c r="E5" i="1"/>
  <c r="D5" i="1"/>
  <c r="X4" i="1"/>
  <c r="J4" i="1"/>
  <c r="E51" i="1" l="1"/>
  <c r="X70" i="1"/>
  <c r="Y74" i="1"/>
  <c r="J46" i="1"/>
  <c r="J47" i="1" s="1"/>
  <c r="K46" i="1"/>
  <c r="K47" i="1" s="1"/>
  <c r="W71" i="1"/>
  <c r="I14" i="1"/>
  <c r="L16" i="1" s="1"/>
  <c r="W60" i="1"/>
  <c r="W63" i="1" s="1"/>
  <c r="K37" i="1"/>
  <c r="K42" i="1" s="1"/>
  <c r="L37" i="1" s="1"/>
  <c r="K55" i="1"/>
  <c r="Y64" i="1" s="1"/>
  <c r="T48" i="1"/>
  <c r="R53" i="1"/>
  <c r="R12" i="1" s="1"/>
  <c r="K5" i="1"/>
  <c r="J6" i="1"/>
  <c r="Y11" i="1"/>
  <c r="Y66" i="1" s="1"/>
  <c r="Y63" i="1"/>
  <c r="Y73" i="1"/>
  <c r="W48" i="1"/>
  <c r="S53" i="1"/>
  <c r="S12" i="1" s="1"/>
  <c r="X40" i="1"/>
  <c r="X48" i="1" s="1"/>
  <c r="Y76" i="1" s="1"/>
  <c r="H47" i="1"/>
  <c r="I47" i="1"/>
  <c r="C47" i="1"/>
  <c r="D47" i="1"/>
  <c r="J7" i="1"/>
  <c r="X72" i="1" s="1"/>
  <c r="T53" i="1"/>
  <c r="T12" i="1" s="1"/>
  <c r="E47" i="1"/>
  <c r="F47" i="1"/>
  <c r="G47" i="1"/>
  <c r="X62" i="1"/>
  <c r="Y62" i="1"/>
  <c r="Y68" i="1"/>
  <c r="Y67" i="1"/>
  <c r="X74" i="1"/>
  <c r="U71" i="1"/>
  <c r="U53" i="1"/>
  <c r="U12" i="1" s="1"/>
  <c r="V53" i="1"/>
  <c r="V12" i="1" s="1"/>
  <c r="S71" i="1"/>
  <c r="Y53" i="1"/>
  <c r="Y12" i="1" s="1"/>
  <c r="Y54" i="1"/>
  <c r="E71" i="1"/>
  <c r="X6" i="1"/>
  <c r="J5" i="1"/>
  <c r="S60" i="1"/>
  <c r="S63" i="1" s="1"/>
  <c r="S11" i="1"/>
  <c r="T11" i="1"/>
  <c r="T60" i="1"/>
  <c r="T63" i="1" s="1"/>
  <c r="W11" i="1"/>
  <c r="Q72" i="1"/>
  <c r="C14" i="1"/>
  <c r="C17" i="1" s="1"/>
  <c r="E52" i="1"/>
  <c r="E55" i="1" s="1"/>
  <c r="S68" i="1"/>
  <c r="S67" i="1"/>
  <c r="I52" i="1"/>
  <c r="I55" i="1" s="1"/>
  <c r="W68" i="1"/>
  <c r="W67" i="1"/>
  <c r="D71" i="1"/>
  <c r="R48" i="1"/>
  <c r="H71" i="1"/>
  <c r="V48" i="1"/>
  <c r="Q54" i="1"/>
  <c r="S54" i="1"/>
  <c r="W54" i="1"/>
  <c r="U54" i="1"/>
  <c r="D55" i="1"/>
  <c r="H55" i="1"/>
  <c r="S62" i="1"/>
  <c r="T62" i="1"/>
  <c r="Q53" i="1"/>
  <c r="Q12" i="1" s="1"/>
  <c r="W53" i="1"/>
  <c r="W12" i="1" s="1"/>
  <c r="G14" i="1"/>
  <c r="G17" i="1" s="1"/>
  <c r="T71" i="1"/>
  <c r="T73" i="1" s="1"/>
  <c r="U72" i="1"/>
  <c r="J52" i="1"/>
  <c r="J55" i="1" s="1"/>
  <c r="X15" i="1"/>
  <c r="X53" i="1" s="1"/>
  <c r="Q48" i="1"/>
  <c r="C71" i="1"/>
  <c r="R71" i="1"/>
  <c r="R72" i="1"/>
  <c r="D14" i="1"/>
  <c r="V71" i="1"/>
  <c r="V72" i="1"/>
  <c r="K16" i="1"/>
  <c r="R11" i="1"/>
  <c r="R60" i="1"/>
  <c r="R63" i="1" s="1"/>
  <c r="R54" i="1"/>
  <c r="V11" i="1"/>
  <c r="V54" i="1"/>
  <c r="V60" i="1"/>
  <c r="V63" i="1" s="1"/>
  <c r="R68" i="1"/>
  <c r="V68" i="1"/>
  <c r="T54" i="1"/>
  <c r="F71" i="1"/>
  <c r="F52" i="1"/>
  <c r="F55" i="1" s="1"/>
  <c r="T68" i="1"/>
  <c r="T67" i="1"/>
  <c r="U48" i="1"/>
  <c r="G71" i="1"/>
  <c r="C55" i="1"/>
  <c r="G55" i="1"/>
  <c r="S48" i="1"/>
  <c r="Q60" i="1"/>
  <c r="Q63" i="1" s="1"/>
  <c r="U60" i="1"/>
  <c r="U63" i="1" s="1"/>
  <c r="Q62" i="1"/>
  <c r="U62" i="1"/>
  <c r="E14" i="1"/>
  <c r="R62" i="1"/>
  <c r="V62" i="1"/>
  <c r="Q67" i="1"/>
  <c r="U67" i="1"/>
  <c r="Q68" i="1"/>
  <c r="U68" i="1"/>
  <c r="S72" i="1"/>
  <c r="W72" i="1"/>
  <c r="F14" i="1"/>
  <c r="R67" i="1"/>
  <c r="V67" i="1"/>
  <c r="J14" i="1" l="1"/>
  <c r="J21" i="1" s="1"/>
  <c r="W76" i="1"/>
  <c r="W73" i="1"/>
  <c r="T76" i="1"/>
  <c r="X71" i="1"/>
  <c r="X73" i="1" s="1"/>
  <c r="X76" i="1"/>
  <c r="X67" i="1"/>
  <c r="X60" i="1"/>
  <c r="X63" i="1" s="1"/>
  <c r="V76" i="1"/>
  <c r="S73" i="1"/>
  <c r="X68" i="1"/>
  <c r="X12" i="1"/>
  <c r="U73" i="1"/>
  <c r="Q73" i="1"/>
  <c r="C21" i="1"/>
  <c r="Q66" i="1" s="1"/>
  <c r="V73" i="1"/>
  <c r="U76" i="1"/>
  <c r="X54" i="1"/>
  <c r="G16" i="1"/>
  <c r="U64" i="1"/>
  <c r="Q64" i="1"/>
  <c r="X11" i="1"/>
  <c r="V64" i="1"/>
  <c r="W64" i="1"/>
  <c r="G15" i="1"/>
  <c r="G21" i="1"/>
  <c r="U66" i="1" s="1"/>
  <c r="S76" i="1"/>
  <c r="E17" i="1"/>
  <c r="E21" i="1"/>
  <c r="E15" i="1"/>
  <c r="S64" i="1"/>
  <c r="D17" i="1"/>
  <c r="D21" i="1"/>
  <c r="D15" i="1"/>
  <c r="Q76" i="1"/>
  <c r="R76" i="1"/>
  <c r="F21" i="1"/>
  <c r="F16" i="1"/>
  <c r="F15" i="1"/>
  <c r="F17" i="1"/>
  <c r="T64" i="1"/>
  <c r="I17" i="1"/>
  <c r="I21" i="1"/>
  <c r="I16" i="1"/>
  <c r="I15" i="1"/>
  <c r="H17" i="1"/>
  <c r="H21" i="1"/>
  <c r="H16" i="1"/>
  <c r="H15" i="1"/>
  <c r="R73" i="1"/>
  <c r="R64" i="1"/>
  <c r="K15" i="1" l="1"/>
  <c r="J17" i="1"/>
  <c r="X64" i="1"/>
  <c r="J15" i="1"/>
  <c r="J16" i="1"/>
  <c r="C23" i="1"/>
  <c r="Q65" i="1" s="1"/>
  <c r="K26" i="1"/>
  <c r="Y65" i="1"/>
  <c r="J23" i="1"/>
  <c r="X66" i="1"/>
  <c r="G23" i="1"/>
  <c r="U65" i="1" s="1"/>
  <c r="H23" i="1"/>
  <c r="K25" i="1" s="1"/>
  <c r="V66" i="1"/>
  <c r="I23" i="1"/>
  <c r="L25" i="1" s="1"/>
  <c r="W66" i="1"/>
  <c r="E23" i="1"/>
  <c r="S66" i="1"/>
  <c r="T66" i="1"/>
  <c r="F23" i="1"/>
  <c r="D23" i="1"/>
  <c r="R66" i="1"/>
  <c r="K24" i="1" l="1"/>
  <c r="C28" i="1"/>
  <c r="C26" i="1"/>
  <c r="J28" i="1"/>
  <c r="J24" i="1"/>
  <c r="G26" i="1"/>
  <c r="G28" i="1"/>
  <c r="G24" i="1"/>
  <c r="X65" i="1"/>
  <c r="J25" i="1"/>
  <c r="J26" i="1"/>
  <c r="I26" i="1"/>
  <c r="I25" i="1"/>
  <c r="W65" i="1"/>
  <c r="I24" i="1"/>
  <c r="I28" i="1"/>
  <c r="E26" i="1"/>
  <c r="S65" i="1"/>
  <c r="E24" i="1"/>
  <c r="E28" i="1"/>
  <c r="T65" i="1"/>
  <c r="F24" i="1"/>
  <c r="F28" i="1"/>
  <c r="F26" i="1"/>
  <c r="F25" i="1"/>
  <c r="D28" i="1"/>
  <c r="D26" i="1"/>
  <c r="R65" i="1"/>
  <c r="D24" i="1"/>
  <c r="G25" i="1"/>
  <c r="H28" i="1"/>
  <c r="K30" i="1" s="1"/>
  <c r="H26" i="1"/>
  <c r="H25" i="1"/>
  <c r="V65" i="1"/>
  <c r="H24" i="1"/>
  <c r="D29" i="1" l="1"/>
  <c r="G29" i="1"/>
  <c r="K29" i="1"/>
  <c r="J30" i="1"/>
  <c r="J29" i="1"/>
  <c r="E29" i="1"/>
  <c r="F30" i="1"/>
  <c r="F29" i="1"/>
  <c r="G30" i="1"/>
  <c r="H30" i="1"/>
  <c r="H29" i="1"/>
  <c r="I29" i="1"/>
  <c r="I30" i="1"/>
  <c r="L29" i="1"/>
  <c r="L30" i="1" l="1"/>
</calcChain>
</file>

<file path=xl/sharedStrings.xml><?xml version="1.0" encoding="utf-8"?>
<sst xmlns="http://schemas.openxmlformats.org/spreadsheetml/2006/main" count="222" uniqueCount="127">
  <si>
    <t>INCOME STATEMENT</t>
  </si>
  <si>
    <t>BALANCE SHEET</t>
  </si>
  <si>
    <t>Y/E, Mar (Rs. mn)</t>
  </si>
  <si>
    <t>FY17</t>
  </si>
  <si>
    <t>FY18</t>
  </si>
  <si>
    <t>FY19</t>
  </si>
  <si>
    <t>FY20</t>
  </si>
  <si>
    <t>FY21</t>
  </si>
  <si>
    <t>FY22</t>
  </si>
  <si>
    <t>FY23</t>
  </si>
  <si>
    <t>FY24</t>
  </si>
  <si>
    <t>FY16</t>
  </si>
  <si>
    <t>Revenue from Operations</t>
  </si>
  <si>
    <t>Share Capital</t>
  </si>
  <si>
    <t>Growth (%)</t>
  </si>
  <si>
    <t>Other Equity</t>
  </si>
  <si>
    <t>CAGR (%) - 3 years</t>
  </si>
  <si>
    <t>Networth/Shareholders Fund/ Book Value</t>
  </si>
  <si>
    <t>Total Expenses</t>
  </si>
  <si>
    <t>Minority Int</t>
  </si>
  <si>
    <t>Cost of Materials Consumed</t>
  </si>
  <si>
    <t>Long Term Debt</t>
  </si>
  <si>
    <t>Purchases of stock-in-trade</t>
  </si>
  <si>
    <t>Short Term Debt</t>
  </si>
  <si>
    <t>Excise Duty on sale of goods</t>
  </si>
  <si>
    <t>Loans</t>
  </si>
  <si>
    <t>Changes in Inventories</t>
  </si>
  <si>
    <t>Capital Employed</t>
  </si>
  <si>
    <t>Employee benefits expenses</t>
  </si>
  <si>
    <t>Other expenses</t>
  </si>
  <si>
    <t>EBITDA</t>
  </si>
  <si>
    <t>NON-CURRENT ASSETS</t>
  </si>
  <si>
    <t>Property, plant &amp; equipment</t>
  </si>
  <si>
    <t>EBITDA Margin (%)</t>
  </si>
  <si>
    <t>Intangible Assets</t>
  </si>
  <si>
    <t>Depreciation and amortisation expenses</t>
  </si>
  <si>
    <t>Capital Work-in-progress</t>
  </si>
  <si>
    <t>Finance costs</t>
  </si>
  <si>
    <t>Right to use assets</t>
  </si>
  <si>
    <t>Other Income</t>
  </si>
  <si>
    <t>Financial assets</t>
  </si>
  <si>
    <t>PBT</t>
  </si>
  <si>
    <t>Tax Expense</t>
  </si>
  <si>
    <t>(ii) Other financial assets</t>
  </si>
  <si>
    <t>PAT</t>
  </si>
  <si>
    <t>Other non-current assets</t>
  </si>
  <si>
    <t>CURRENT ASSETS, LOANS &amp; ADVANCES</t>
  </si>
  <si>
    <t>Inventories</t>
  </si>
  <si>
    <t>PAT Margin (%)</t>
  </si>
  <si>
    <t>Other Comprehensive Income</t>
  </si>
  <si>
    <t>(i) Investment in Liquid Scheme of MF</t>
  </si>
  <si>
    <t>Total Comprehensive Income</t>
  </si>
  <si>
    <t>(ii)Trade Receivable</t>
  </si>
  <si>
    <t>(iii)Cash and cash equivalents</t>
  </si>
  <si>
    <t>CAGR (%) - 3 Years</t>
  </si>
  <si>
    <t>(iv)Other bank balances</t>
  </si>
  <si>
    <t>(v)Loans</t>
  </si>
  <si>
    <t>EPS</t>
  </si>
  <si>
    <t>(vi) Other financial assets</t>
  </si>
  <si>
    <t>Current tax assets (net)</t>
  </si>
  <si>
    <t>Other current assets</t>
  </si>
  <si>
    <t>CURRENT LIABILITIES &amp; PROVISIONS</t>
  </si>
  <si>
    <t>CASH FLOW (INR Mn)</t>
  </si>
  <si>
    <t>Financial liabilities</t>
  </si>
  <si>
    <t>Cash and Cash Equivalents at beginning of the year</t>
  </si>
  <si>
    <t>(i)Trade Payables</t>
  </si>
  <si>
    <t>Cash Flow From Operating Activities</t>
  </si>
  <si>
    <t>(ii)Other Financial liabilities</t>
  </si>
  <si>
    <t>Cash Flow from Investing Activities</t>
  </si>
  <si>
    <t>(iii)Lease Liabilities</t>
  </si>
  <si>
    <t>Cash Flow From Financing Activities</t>
  </si>
  <si>
    <t>Other Current liabilities</t>
  </si>
  <si>
    <t>Net Inc./(Dec.) in Cash and Cash Equivalents</t>
  </si>
  <si>
    <t>Provisions</t>
  </si>
  <si>
    <t>Cash and Cash Equivalents at end of the year</t>
  </si>
  <si>
    <t>Current Tax Liabilities (net)</t>
  </si>
  <si>
    <t>NET CURRENT ASSETS</t>
  </si>
  <si>
    <t>Our Calculations</t>
  </si>
  <si>
    <t>Long term provision</t>
  </si>
  <si>
    <t xml:space="preserve">Operating Cash Inflow </t>
  </si>
  <si>
    <t>Other Financial liabilities</t>
  </si>
  <si>
    <t>Capital Expenditure</t>
  </si>
  <si>
    <t>Lease Liabilities</t>
  </si>
  <si>
    <t>FCF</t>
  </si>
  <si>
    <t>Deferred tax liability (net)</t>
  </si>
  <si>
    <t>TOTAL ASSETS</t>
  </si>
  <si>
    <t>TOTAL LIABILITIES</t>
  </si>
  <si>
    <t>No of Shares</t>
  </si>
  <si>
    <t>Market Cap</t>
  </si>
  <si>
    <t>KEY RATIOS</t>
  </si>
  <si>
    <t>Total Debt</t>
  </si>
  <si>
    <t>Cash</t>
  </si>
  <si>
    <t>CMP(INR)</t>
  </si>
  <si>
    <t>Bank</t>
  </si>
  <si>
    <t>EPS (INR)</t>
  </si>
  <si>
    <t>EV</t>
  </si>
  <si>
    <t>BVPS (INR)</t>
  </si>
  <si>
    <t>DPS (INR)</t>
  </si>
  <si>
    <t>P/E (x)</t>
  </si>
  <si>
    <t>P/BV (x)</t>
  </si>
  <si>
    <t>EV/EBIDTA (x)</t>
  </si>
  <si>
    <t>NA</t>
  </si>
  <si>
    <t>ROE (%)</t>
  </si>
  <si>
    <t>ROCE (%)</t>
  </si>
  <si>
    <t xml:space="preserve"> </t>
  </si>
  <si>
    <t>Gross D/E (x)</t>
  </si>
  <si>
    <t>Net D/E (x)</t>
  </si>
  <si>
    <t>Dividend Yield (%)</t>
  </si>
  <si>
    <t>Debtor Days</t>
  </si>
  <si>
    <t>Creditor Days</t>
  </si>
  <si>
    <t>Inventory Days</t>
  </si>
  <si>
    <t>Cash Conversion cycle</t>
  </si>
  <si>
    <t>Fixed Asset Turnover</t>
  </si>
  <si>
    <t>Interest Coverage Ratio</t>
  </si>
  <si>
    <t>Working Capital Days</t>
  </si>
  <si>
    <t>FY25</t>
  </si>
  <si>
    <t>(i) Investment</t>
  </si>
  <si>
    <t>(ii) Loans</t>
  </si>
  <si>
    <t>lntangible Assets Under Devetopment</t>
  </si>
  <si>
    <t>Supreme Petrochem Ltd</t>
  </si>
  <si>
    <t>Non-Current Tax Assets (Net)</t>
  </si>
  <si>
    <t>FY26</t>
  </si>
  <si>
    <t>TTM EPS</t>
  </si>
  <si>
    <t>H1-FY27</t>
  </si>
  <si>
    <t>Total Networth</t>
  </si>
  <si>
    <t>Goodwill on Consolidation</t>
  </si>
  <si>
    <t>Investment Property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</si>
</sst>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"/>
    <numFmt numFmtId="165" formatCode="_ * #,##0.0_ ;_ * \-#,##0.0_ ;_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color theme="1"/>
      <name val="Tahoma"/>
      <family val="2"/>
    </font>
    <font>
      <sz val="8"/>
      <name val="Calibri"/>
      <family val="2"/>
      <scheme val="minor"/>
    </font>
    <font>
      <b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F7F7F"/>
        <bgColor rgb="FF7F7F7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3" fontId="2" fillId="0" borderId="1" xfId="0" applyNumberFormat="1" applyFont="1" applyBorder="1"/>
    <xf numFmtId="0" fontId="0" fillId="0" borderId="1" xfId="0" applyBorder="1"/>
    <xf numFmtId="43" fontId="0" fillId="0" borderId="1" xfId="0" applyNumberFormat="1" applyBorder="1"/>
    <xf numFmtId="0" fontId="4" fillId="2" borderId="1" xfId="0" applyFont="1" applyFill="1" applyBorder="1"/>
    <xf numFmtId="10" fontId="4" fillId="2" borderId="1" xfId="2" applyNumberFormat="1" applyFont="1" applyFill="1" applyBorder="1"/>
    <xf numFmtId="43" fontId="5" fillId="0" borderId="1" xfId="0" applyNumberFormat="1" applyFont="1" applyBorder="1"/>
    <xf numFmtId="164" fontId="4" fillId="2" borderId="1" xfId="0" applyNumberFormat="1" applyFont="1" applyFill="1" applyBorder="1"/>
    <xf numFmtId="0" fontId="2" fillId="2" borderId="1" xfId="0" applyFont="1" applyFill="1" applyBorder="1"/>
    <xf numFmtId="43" fontId="2" fillId="2" borderId="1" xfId="0" applyNumberFormat="1" applyFont="1" applyFill="1" applyBorder="1"/>
    <xf numFmtId="43" fontId="5" fillId="0" borderId="1" xfId="0" applyNumberFormat="1" applyFont="1" applyBorder="1" applyAlignment="1">
      <alignment horizontal="right"/>
    </xf>
    <xf numFmtId="164" fontId="0" fillId="0" borderId="1" xfId="0" applyNumberFormat="1" applyBorder="1"/>
    <xf numFmtId="43" fontId="0" fillId="3" borderId="1" xfId="0" applyNumberFormat="1" applyFill="1" applyBorder="1"/>
    <xf numFmtId="10" fontId="2" fillId="2" borderId="1" xfId="2" applyNumberFormat="1" applyFont="1" applyFill="1" applyBorder="1"/>
    <xf numFmtId="43" fontId="0" fillId="0" borderId="1" xfId="1" applyFont="1" applyBorder="1"/>
    <xf numFmtId="0" fontId="0" fillId="0" borderId="1" xfId="0" applyBorder="1" applyAlignment="1">
      <alignment horizontal="left" indent="1"/>
    </xf>
    <xf numFmtId="43" fontId="5" fillId="3" borderId="1" xfId="0" applyNumberFormat="1" applyFont="1" applyFill="1" applyBorder="1"/>
    <xf numFmtId="2" fontId="0" fillId="0" borderId="1" xfId="0" applyNumberFormat="1" applyBorder="1"/>
    <xf numFmtId="2" fontId="0" fillId="0" borderId="1" xfId="2" applyNumberFormat="1" applyFont="1" applyFill="1" applyBorder="1"/>
    <xf numFmtId="0" fontId="0" fillId="0" borderId="1" xfId="0" applyBorder="1" applyAlignment="1">
      <alignment horizontal="left"/>
    </xf>
    <xf numFmtId="2" fontId="0" fillId="0" borderId="1" xfId="0" applyNumberFormat="1" applyBorder="1" applyAlignment="1">
      <alignment horizontal="right"/>
    </xf>
    <xf numFmtId="0" fontId="6" fillId="2" borderId="1" xfId="0" applyFont="1" applyFill="1" applyBorder="1"/>
    <xf numFmtId="0" fontId="0" fillId="2" borderId="1" xfId="0" applyFill="1" applyBorder="1"/>
    <xf numFmtId="10" fontId="0" fillId="2" borderId="1" xfId="2" applyNumberFormat="1" applyFont="1" applyFill="1" applyBorder="1"/>
    <xf numFmtId="0" fontId="0" fillId="0" borderId="2" xfId="0" applyBorder="1"/>
    <xf numFmtId="2" fontId="2" fillId="2" borderId="1" xfId="0" applyNumberFormat="1" applyFont="1" applyFill="1" applyBorder="1"/>
    <xf numFmtId="2" fontId="2" fillId="2" borderId="1" xfId="2" applyNumberFormat="1" applyFont="1" applyFill="1" applyBorder="1"/>
    <xf numFmtId="0" fontId="0" fillId="0" borderId="1" xfId="0" applyBorder="1" applyAlignment="1">
      <alignment wrapText="1"/>
    </xf>
    <xf numFmtId="0" fontId="0" fillId="0" borderId="4" xfId="0" applyBorder="1"/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43" fontId="3" fillId="0" borderId="1" xfId="1" applyFont="1" applyFill="1" applyBorder="1"/>
    <xf numFmtId="0" fontId="5" fillId="0" borderId="1" xfId="0" applyFont="1" applyBorder="1"/>
    <xf numFmtId="43" fontId="5" fillId="0" borderId="1" xfId="1" applyFont="1" applyFill="1" applyBorder="1"/>
    <xf numFmtId="0" fontId="3" fillId="2" borderId="1" xfId="0" applyFont="1" applyFill="1" applyBorder="1"/>
    <xf numFmtId="43" fontId="3" fillId="2" borderId="1" xfId="1" applyFont="1" applyFill="1" applyBorder="1"/>
    <xf numFmtId="0" fontId="5" fillId="0" borderId="0" xfId="0" applyFont="1"/>
    <xf numFmtId="43" fontId="5" fillId="0" borderId="0" xfId="1" applyFont="1" applyFill="1" applyBorder="1"/>
    <xf numFmtId="3" fontId="0" fillId="0" borderId="1" xfId="0" applyNumberFormat="1" applyBorder="1"/>
    <xf numFmtId="165" fontId="0" fillId="0" borderId="1" xfId="1" applyNumberFormat="1" applyFont="1" applyBorder="1"/>
    <xf numFmtId="165" fontId="2" fillId="2" borderId="1" xfId="1" applyNumberFormat="1" applyFont="1" applyFill="1" applyBorder="1"/>
    <xf numFmtId="43" fontId="5" fillId="2" borderId="1" xfId="0" applyNumberFormat="1" applyFont="1" applyFill="1" applyBorder="1"/>
    <xf numFmtId="165" fontId="0" fillId="0" borderId="0" xfId="1" applyNumberFormat="1" applyFont="1" applyFill="1" applyBorder="1"/>
    <xf numFmtId="2" fontId="0" fillId="0" borderId="0" xfId="0" applyNumberFormat="1"/>
    <xf numFmtId="2" fontId="0" fillId="2" borderId="1" xfId="0" applyNumberFormat="1" applyFill="1" applyBorder="1"/>
    <xf numFmtId="43" fontId="0" fillId="2" borderId="1" xfId="0" applyNumberFormat="1" applyFill="1" applyBorder="1"/>
    <xf numFmtId="165" fontId="2" fillId="0" borderId="0" xfId="1" applyNumberFormat="1" applyFont="1" applyFill="1" applyBorder="1"/>
    <xf numFmtId="10" fontId="5" fillId="2" borderId="1" xfId="2" applyNumberFormat="1" applyFont="1" applyFill="1" applyBorder="1"/>
    <xf numFmtId="2" fontId="5" fillId="2" borderId="1" xfId="0" applyNumberFormat="1" applyFont="1" applyFill="1" applyBorder="1"/>
    <xf numFmtId="1" fontId="0" fillId="2" borderId="1" xfId="0" applyNumberFormat="1" applyFill="1" applyBorder="1"/>
    <xf numFmtId="2" fontId="5" fillId="2" borderId="1" xfId="2" applyNumberFormat="1" applyFont="1" applyFill="1" applyBorder="1"/>
    <xf numFmtId="2" fontId="5" fillId="2" borderId="1" xfId="0" applyNumberFormat="1" applyFont="1" applyFill="1" applyBorder="1" applyAlignment="1">
      <alignment horizontal="right"/>
    </xf>
    <xf numFmtId="43" fontId="0" fillId="0" borderId="0" xfId="0" applyNumberFormat="1"/>
    <xf numFmtId="43" fontId="2" fillId="0" borderId="0" xfId="0" applyNumberFormat="1" applyFont="1"/>
    <xf numFmtId="43" fontId="5" fillId="2" borderId="1" xfId="0" applyNumberFormat="1" applyFon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43" fontId="0" fillId="2" borderId="1" xfId="0" applyNumberFormat="1" applyFill="1" applyBorder="1" applyAlignment="1">
      <alignment horizontal="right"/>
    </xf>
    <xf numFmtId="10" fontId="0" fillId="2" borderId="1" xfId="2" applyNumberFormat="1" applyFont="1" applyFill="1" applyBorder="1" applyAlignment="1">
      <alignment horizontal="right"/>
    </xf>
    <xf numFmtId="43" fontId="0" fillId="0" borderId="1" xfId="1" applyFont="1" applyFill="1" applyBorder="1"/>
    <xf numFmtId="43" fontId="5" fillId="0" borderId="3" xfId="1" applyFont="1" applyFill="1" applyBorder="1"/>
    <xf numFmtId="43" fontId="0" fillId="3" borderId="1" xfId="1" applyFont="1" applyFill="1" applyBorder="1"/>
    <xf numFmtId="43" fontId="2" fillId="2" borderId="1" xfId="1" applyFont="1" applyFill="1" applyBorder="1"/>
    <xf numFmtId="3" fontId="0" fillId="0" borderId="2" xfId="0" applyNumberFormat="1" applyBorder="1"/>
    <xf numFmtId="43" fontId="0" fillId="0" borderId="2" xfId="1" applyFont="1" applyFill="1" applyBorder="1"/>
    <xf numFmtId="165" fontId="0" fillId="0" borderId="2" xfId="1" applyNumberFormat="1" applyFont="1" applyFill="1" applyBorder="1"/>
    <xf numFmtId="2" fontId="0" fillId="0" borderId="2" xfId="0" applyNumberFormat="1" applyBorder="1"/>
    <xf numFmtId="43" fontId="3" fillId="2" borderId="2" xfId="1" applyFont="1" applyFill="1" applyBorder="1"/>
    <xf numFmtId="43" fontId="2" fillId="2" borderId="2" xfId="0" applyNumberFormat="1" applyFont="1" applyFill="1" applyBorder="1"/>
    <xf numFmtId="43" fontId="3" fillId="0" borderId="2" xfId="1" applyFont="1" applyFill="1" applyBorder="1"/>
    <xf numFmtId="43" fontId="5" fillId="0" borderId="2" xfId="1" applyFont="1" applyFill="1" applyBorder="1"/>
    <xf numFmtId="43" fontId="0" fillId="0" borderId="2" xfId="0" applyNumberFormat="1" applyBorder="1"/>
    <xf numFmtId="10" fontId="4" fillId="2" borderId="2" xfId="2" applyNumberFormat="1" applyFont="1" applyFill="1" applyBorder="1"/>
    <xf numFmtId="10" fontId="2" fillId="2" borderId="2" xfId="2" applyNumberFormat="1" applyFont="1" applyFill="1" applyBorder="1"/>
    <xf numFmtId="10" fontId="0" fillId="2" borderId="2" xfId="2" applyNumberFormat="1" applyFont="1" applyFill="1" applyBorder="1"/>
    <xf numFmtId="2" fontId="2" fillId="2" borderId="2" xfId="2" applyNumberFormat="1" applyFont="1" applyFill="1" applyBorder="1"/>
    <xf numFmtId="43" fontId="2" fillId="0" borderId="2" xfId="0" applyNumberFormat="1" applyFont="1" applyBorder="1"/>
    <xf numFmtId="165" fontId="2" fillId="2" borderId="2" xfId="1" applyNumberFormat="1" applyFont="1" applyFill="1" applyBorder="1"/>
    <xf numFmtId="43" fontId="2" fillId="3" borderId="1" xfId="0" applyNumberFormat="1" applyFont="1" applyFill="1" applyBorder="1"/>
    <xf numFmtId="43" fontId="3" fillId="3" borderId="2" xfId="1" applyFont="1" applyFill="1" applyBorder="1"/>
    <xf numFmtId="3" fontId="0" fillId="3" borderId="1" xfId="0" applyNumberFormat="1" applyFill="1" applyBorder="1"/>
    <xf numFmtId="2" fontId="0" fillId="3" borderId="2" xfId="0" applyNumberFormat="1" applyFill="1" applyBorder="1"/>
    <xf numFmtId="1" fontId="0" fillId="2" borderId="1" xfId="0" applyNumberFormat="1" applyFill="1" applyBorder="1" applyAlignment="1">
      <alignment horizontal="right"/>
    </xf>
    <xf numFmtId="4" fontId="0" fillId="0" borderId="0" xfId="0" applyNumberFormat="1"/>
    <xf numFmtId="43" fontId="3" fillId="2" borderId="2" xfId="0" applyNumberFormat="1" applyFont="1" applyFill="1" applyBorder="1"/>
    <xf numFmtId="0" fontId="2" fillId="0" borderId="0" xfId="0" applyFont="1" applyAlignment="1">
      <alignment horizontal="center"/>
    </xf>
    <xf numFmtId="0" fontId="5" fillId="2" borderId="1" xfId="0" applyFont="1" applyFill="1" applyBorder="1"/>
    <xf numFmtId="2" fontId="0" fillId="2" borderId="3" xfId="0" applyNumberFormat="1" applyFill="1" applyBorder="1" applyAlignment="1">
      <alignment horizontal="right"/>
    </xf>
    <xf numFmtId="2" fontId="5" fillId="2" borderId="3" xfId="0" applyNumberFormat="1" applyFont="1" applyFill="1" applyBorder="1" applyAlignment="1">
      <alignment horizontal="right"/>
    </xf>
    <xf numFmtId="0" fontId="0" fillId="2" borderId="5" xfId="0" applyFill="1" applyBorder="1"/>
    <xf numFmtId="2" fontId="0" fillId="2" borderId="5" xfId="0" applyNumberFormat="1" applyFill="1" applyBorder="1"/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43" fontId="3" fillId="3" borderId="1" xfId="1" applyFont="1" applyFill="1" applyBorder="1"/>
    <xf numFmtId="165" fontId="0" fillId="0" borderId="1" xfId="1" applyNumberFormat="1" applyFont="1" applyFill="1" applyBorder="1"/>
    <xf numFmtId="4" fontId="0" fillId="0" borderId="1" xfId="0" applyNumberFormat="1" applyBorder="1"/>
    <xf numFmtId="165" fontId="2" fillId="0" borderId="2" xfId="1" applyNumberFormat="1" applyFont="1" applyFill="1" applyBorder="1"/>
    <xf numFmtId="4" fontId="0" fillId="0" borderId="2" xfId="0" applyNumberFormat="1" applyBorder="1"/>
    <xf numFmtId="43" fontId="3" fillId="2" borderId="1" xfId="0" applyNumberFormat="1" applyFont="1" applyFill="1" applyBorder="1"/>
    <xf numFmtId="2" fontId="0" fillId="3" borderId="1" xfId="0" applyNumberFormat="1" applyFill="1" applyBorder="1"/>
    <xf numFmtId="10" fontId="4" fillId="2" borderId="1" xfId="2" applyNumberFormat="1" applyFont="1" applyFill="1" applyBorder="1" applyAlignment="1">
      <alignment horizontal="right"/>
    </xf>
    <xf numFmtId="0" fontId="0" fillId="0" borderId="8" xfId="0" applyBorder="1"/>
    <xf numFmtId="0" fontId="8" fillId="4" borderId="0" xfId="0" applyFont="1" applyFill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8" fillId="4" borderId="0" xfId="0" applyFont="1" applyFill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Sheet1!$P$1:$P$57</c:f>
              <c:strCache>
                <c:ptCount val="57"/>
                <c:pt idx="0">
                  <c:v>Supreme Petrochem Ltd</c:v>
                </c:pt>
                <c:pt idx="1">
                  <c:v>BALANCE SHEET</c:v>
                </c:pt>
                <c:pt idx="2">
                  <c:v>FY16</c:v>
                </c:pt>
                <c:pt idx="3">
                  <c:v>Share Capital</c:v>
                </c:pt>
                <c:pt idx="4">
                  <c:v>Other Equity</c:v>
                </c:pt>
                <c:pt idx="5">
                  <c:v>Networth/Shareholders Fund/ Book Value</c:v>
                </c:pt>
                <c:pt idx="6">
                  <c:v>Minority Int</c:v>
                </c:pt>
                <c:pt idx="7">
                  <c:v>Long Term Debt</c:v>
                </c:pt>
                <c:pt idx="8">
                  <c:v>Short Term Debt</c:v>
                </c:pt>
                <c:pt idx="9">
                  <c:v>Loans</c:v>
                </c:pt>
                <c:pt idx="10">
                  <c:v>Capital Employed</c:v>
                </c:pt>
                <c:pt idx="11">
                  <c:v>Total Networth</c:v>
                </c:pt>
                <c:pt idx="12">
                  <c:v> 1,727.17 </c:v>
                </c:pt>
                <c:pt idx="13">
                  <c:v> 4,843.88 </c:v>
                </c:pt>
                <c:pt idx="14">
                  <c:v>NON-CURRENT ASSETS</c:v>
                </c:pt>
                <c:pt idx="15">
                  <c:v>3313.242</c:v>
                </c:pt>
                <c:pt idx="16">
                  <c:v>Intangible Assets</c:v>
                </c:pt>
                <c:pt idx="17">
                  <c:v>Goodwill on Consolidation</c:v>
                </c:pt>
                <c:pt idx="18">
                  <c:v>Investment Property</c:v>
                </c:pt>
                <c:pt idx="19">
                  <c:v>lntangible Assets Under Devetopment</c:v>
                </c:pt>
                <c:pt idx="20">
                  <c:v>Capital Work-in-progress</c:v>
                </c:pt>
                <c:pt idx="21">
                  <c:v>Right to use assets</c:v>
                </c:pt>
                <c:pt idx="22">
                  <c:v>Financial assets</c:v>
                </c:pt>
                <c:pt idx="23">
                  <c:v>(i) Investment</c:v>
                </c:pt>
                <c:pt idx="24">
                  <c:v>(ii) Loans</c:v>
                </c:pt>
                <c:pt idx="25">
                  <c:v>(ii) Other financial assets</c:v>
                </c:pt>
                <c:pt idx="26">
                  <c:v>Non-Current Tax Assets (Net)</c:v>
                </c:pt>
                <c:pt idx="27">
                  <c:v>Other non-current assets</c:v>
                </c:pt>
                <c:pt idx="28">
                  <c:v>CURRENT ASSETS, LOANS &amp; ADVANCES</c:v>
                </c:pt>
                <c:pt idx="29">
                  <c:v>1814.44</c:v>
                </c:pt>
                <c:pt idx="30">
                  <c:v>Financial assets</c:v>
                </c:pt>
                <c:pt idx="31">
                  <c:v>(i) Investment in Liquid Scheme of MF</c:v>
                </c:pt>
                <c:pt idx="32">
                  <c:v>2811.62</c:v>
                </c:pt>
                <c:pt idx="33">
                  <c:v>(iii)Cash and cash equivalents</c:v>
                </c:pt>
                <c:pt idx="34">
                  <c:v>(iv)Other bank balances</c:v>
                </c:pt>
                <c:pt idx="35">
                  <c:v>(v)Loans</c:v>
                </c:pt>
                <c:pt idx="36">
                  <c:v>(vi) Other financial assets</c:v>
                </c:pt>
                <c:pt idx="37">
                  <c:v>Current tax assets (net)</c:v>
                </c:pt>
                <c:pt idx="38">
                  <c:v>Other current assets</c:v>
                </c:pt>
                <c:pt idx="39">
                  <c:v>CURRENT LIABILITIES &amp; PROVISIONS</c:v>
                </c:pt>
                <c:pt idx="40">
                  <c:v>Financial liabilities</c:v>
                </c:pt>
                <c:pt idx="41">
                  <c:v>4127.42</c:v>
                </c:pt>
                <c:pt idx="42">
                  <c:v>(ii)Other Financial liabilities</c:v>
                </c:pt>
                <c:pt idx="43">
                  <c:v>(iii)Lease Liabilities</c:v>
                </c:pt>
                <c:pt idx="44">
                  <c:v>Other Current liabilities</c:v>
                </c:pt>
                <c:pt idx="45">
                  <c:v>Provisions</c:v>
                </c:pt>
                <c:pt idx="46">
                  <c:v>Current Tax Liabilities (net)</c:v>
                </c:pt>
                <c:pt idx="47">
                  <c:v>NET CURRENT ASSETS</c:v>
                </c:pt>
                <c:pt idx="48">
                  <c:v>Long term provision</c:v>
                </c:pt>
                <c:pt idx="49">
                  <c:v>Other Financial liabilities</c:v>
                </c:pt>
                <c:pt idx="50">
                  <c:v>Lease Liabilities</c:v>
                </c:pt>
                <c:pt idx="51">
                  <c:v>Deferred tax liability (net)</c:v>
                </c:pt>
                <c:pt idx="52">
                  <c:v>TOTAL ASSETS</c:v>
                </c:pt>
                <c:pt idx="53">
                  <c:v>TOTAL LIABILITIES</c:v>
                </c:pt>
                <c:pt idx="54">
                  <c:v> 1,47,517.2 </c:v>
                </c:pt>
                <c:pt idx="55">
                  <c:v>KEY RATIOS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Sheet1!$B$58:$O$76</c:f>
              <c:strCache>
                <c:ptCount val="36"/>
                <c:pt idx="13">
                  <c:v>CMP(INR)</c:v>
                </c:pt>
                <c:pt idx="14">
                  <c:v>EPS (INR)</c:v>
                </c:pt>
                <c:pt idx="15">
                  <c:v>BVPS (INR)</c:v>
                </c:pt>
                <c:pt idx="16">
                  <c:v>DPS (INR)</c:v>
                </c:pt>
                <c:pt idx="17">
                  <c:v>P/E (x)</c:v>
                </c:pt>
                <c:pt idx="18">
                  <c:v>P/BV (x)</c:v>
                </c:pt>
                <c:pt idx="19">
                  <c:v>EV/EBIDTA (x)</c:v>
                </c:pt>
                <c:pt idx="20">
                  <c:v>ROE (%)</c:v>
                </c:pt>
                <c:pt idx="21">
                  <c:v>ROCE (%)</c:v>
                </c:pt>
                <c:pt idx="22">
                  <c:v>Gross D/E (x)</c:v>
                </c:pt>
                <c:pt idx="23">
                  <c:v>Net D/E (x)</c:v>
                </c:pt>
                <c:pt idx="24">
                  <c:v>Dividend Yield (%)</c:v>
                </c:pt>
                <c:pt idx="25">
                  <c:v>Debtor Days</c:v>
                </c:pt>
                <c:pt idx="31">
                  <c:v>Inventory Days</c:v>
                </c:pt>
                <c:pt idx="32">
                  <c:v>Cash Conversion cycle</c:v>
                </c:pt>
                <c:pt idx="33">
                  <c:v>Fixed Asset Turnover</c:v>
                </c:pt>
                <c:pt idx="34">
                  <c:v>Interest Coverage Ratio</c:v>
                </c:pt>
                <c:pt idx="35">
                  <c:v>Working Capital Days</c:v>
                </c:pt>
              </c:strCache>
            </c:strRef>
          </c:cat>
          <c:val>
            <c:numRef>
              <c:f>Sheet1!$P$58:$P$76</c:f>
            </c:numRef>
          </c:val>
          <c:extLst>
            <c:ext xmlns:c16="http://schemas.microsoft.com/office/drawing/2014/chart" uri="{C3380CC4-5D6E-409C-BE32-E72D297353CC}">
              <c16:uniqueId val="{00000000-3616-42FA-A946-5FA7B2438687}"/>
            </c:ext>
          </c:extLst>
        </c:ser>
        <c:ser>
          <c:idx val="1"/>
          <c:order val="1"/>
          <c:tx>
            <c:strRef>
              <c:f>Sheet1!$Q$1:$Q$57</c:f>
              <c:strCache>
                <c:ptCount val="57"/>
                <c:pt idx="0">
                  <c:v>Supreme Petrochem Ltd</c:v>
                </c:pt>
                <c:pt idx="1">
                  <c:v>BALANCE SHEET</c:v>
                </c:pt>
                <c:pt idx="2">
                  <c:v>FY17</c:v>
                </c:pt>
                <c:pt idx="3">
                  <c:v> 965.02 </c:v>
                </c:pt>
                <c:pt idx="4">
                  <c:v> 4,855.98 </c:v>
                </c:pt>
                <c:pt idx="5">
                  <c:v> 5,821.00 </c:v>
                </c:pt>
                <c:pt idx="6">
                  <c:v>Minority Int</c:v>
                </c:pt>
                <c:pt idx="7">
                  <c:v>Long Term Debt</c:v>
                </c:pt>
                <c:pt idx="8">
                  <c:v>Short Term Debt</c:v>
                </c:pt>
                <c:pt idx="9">
                  <c:v> -   </c:v>
                </c:pt>
                <c:pt idx="10">
                  <c:v> 6,352.71 </c:v>
                </c:pt>
                <c:pt idx="11">
                  <c:v> 6,352.71 </c:v>
                </c:pt>
                <c:pt idx="12">
                  <c:v> 1,727.17 </c:v>
                </c:pt>
                <c:pt idx="13">
                  <c:v> 4,843.88 </c:v>
                </c:pt>
                <c:pt idx="14">
                  <c:v> 3,582.44 </c:v>
                </c:pt>
                <c:pt idx="15">
                  <c:v> 3,353.80 </c:v>
                </c:pt>
                <c:pt idx="16">
                  <c:v> 14.03 </c:v>
                </c:pt>
                <c:pt idx="17">
                  <c:v>Goodwill on Consolidation</c:v>
                </c:pt>
                <c:pt idx="18">
                  <c:v>Investment Property</c:v>
                </c:pt>
                <c:pt idx="19">
                  <c:v>lntangible Assets Under Devetopment</c:v>
                </c:pt>
                <c:pt idx="20">
                  <c:v> 126.76 </c:v>
                </c:pt>
                <c:pt idx="21">
                  <c:v> -   </c:v>
                </c:pt>
                <c:pt idx="22">
                  <c:v>Financial assets</c:v>
                </c:pt>
                <c:pt idx="23">
                  <c:v>(i) Investment</c:v>
                </c:pt>
                <c:pt idx="24">
                  <c:v> 9.31 </c:v>
                </c:pt>
                <c:pt idx="25">
                  <c:v> 34.58 </c:v>
                </c:pt>
                <c:pt idx="26">
                  <c:v>Non-Current Tax Assets (Net)</c:v>
                </c:pt>
                <c:pt idx="27">
                  <c:v> 43.97 </c:v>
                </c:pt>
                <c:pt idx="28">
                  <c:v> 7,714.64 </c:v>
                </c:pt>
                <c:pt idx="29">
                  <c:v> 3,058.57 </c:v>
                </c:pt>
                <c:pt idx="30">
                  <c:v>Financial assets</c:v>
                </c:pt>
                <c:pt idx="31">
                  <c:v> -   </c:v>
                </c:pt>
                <c:pt idx="32">
                  <c:v> 3,073.89 </c:v>
                </c:pt>
                <c:pt idx="33">
                  <c:v> 932.61 </c:v>
                </c:pt>
                <c:pt idx="34">
                  <c:v> 45.26 </c:v>
                </c:pt>
                <c:pt idx="35">
                  <c:v> 5.04 </c:v>
                </c:pt>
                <c:pt idx="36">
                  <c:v> 60.42 </c:v>
                </c:pt>
                <c:pt idx="37">
                  <c:v> 114.23 </c:v>
                </c:pt>
                <c:pt idx="38">
                  <c:v> 424.62 </c:v>
                </c:pt>
                <c:pt idx="39">
                  <c:v> 4,944.37 </c:v>
                </c:pt>
                <c:pt idx="40">
                  <c:v>Financial liabilities</c:v>
                </c:pt>
                <c:pt idx="41">
                  <c:v> 4,318.22 </c:v>
                </c:pt>
                <c:pt idx="42">
                  <c:v> 174.17 </c:v>
                </c:pt>
                <c:pt idx="43">
                  <c:v> -   </c:v>
                </c:pt>
                <c:pt idx="44">
                  <c:v> 314.32 </c:v>
                </c:pt>
                <c:pt idx="45">
                  <c:v> 17.44 </c:v>
                </c:pt>
                <c:pt idx="46">
                  <c:v> 120.23 </c:v>
                </c:pt>
                <c:pt idx="47">
                  <c:v> 2,770.27 </c:v>
                </c:pt>
                <c:pt idx="48">
                  <c:v> 26.69 </c:v>
                </c:pt>
                <c:pt idx="49">
                  <c:v> 26.33 </c:v>
                </c:pt>
                <c:pt idx="50">
                  <c:v> -   </c:v>
                </c:pt>
                <c:pt idx="51">
                  <c:v> 478.69 </c:v>
                </c:pt>
                <c:pt idx="52">
                  <c:v> 11,297.09 </c:v>
                </c:pt>
                <c:pt idx="53">
                  <c:v> 11,297.09 </c:v>
                </c:pt>
                <c:pt idx="54">
                  <c:v> 1,47,517.2 </c:v>
                </c:pt>
                <c:pt idx="55">
                  <c:v>KEY RATIOS</c:v>
                </c:pt>
                <c:pt idx="56">
                  <c:v>FY17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Sheet1!$B$58:$O$76</c:f>
              <c:strCache>
                <c:ptCount val="36"/>
                <c:pt idx="13">
                  <c:v>CMP(INR)</c:v>
                </c:pt>
                <c:pt idx="14">
                  <c:v>EPS (INR)</c:v>
                </c:pt>
                <c:pt idx="15">
                  <c:v>BVPS (INR)</c:v>
                </c:pt>
                <c:pt idx="16">
                  <c:v>DPS (INR)</c:v>
                </c:pt>
                <c:pt idx="17">
                  <c:v>P/E (x)</c:v>
                </c:pt>
                <c:pt idx="18">
                  <c:v>P/BV (x)</c:v>
                </c:pt>
                <c:pt idx="19">
                  <c:v>EV/EBIDTA (x)</c:v>
                </c:pt>
                <c:pt idx="20">
                  <c:v>ROE (%)</c:v>
                </c:pt>
                <c:pt idx="21">
                  <c:v>ROCE (%)</c:v>
                </c:pt>
                <c:pt idx="22">
                  <c:v>Gross D/E (x)</c:v>
                </c:pt>
                <c:pt idx="23">
                  <c:v>Net D/E (x)</c:v>
                </c:pt>
                <c:pt idx="24">
                  <c:v>Dividend Yield (%)</c:v>
                </c:pt>
                <c:pt idx="25">
                  <c:v>Debtor Days</c:v>
                </c:pt>
                <c:pt idx="31">
                  <c:v>Inventory Days</c:v>
                </c:pt>
                <c:pt idx="32">
                  <c:v>Cash Conversion cycle</c:v>
                </c:pt>
                <c:pt idx="33">
                  <c:v>Fixed Asset Turnover</c:v>
                </c:pt>
                <c:pt idx="34">
                  <c:v>Interest Coverage Ratio</c:v>
                </c:pt>
                <c:pt idx="35">
                  <c:v>Working Capital Days</c:v>
                </c:pt>
              </c:strCache>
            </c:strRef>
          </c:cat>
          <c:val>
            <c:numRef>
              <c:f>Sheet1!$Q$58:$Q$76</c:f>
            </c:numRef>
          </c:val>
          <c:extLst>
            <c:ext xmlns:c16="http://schemas.microsoft.com/office/drawing/2014/chart" uri="{C3380CC4-5D6E-409C-BE32-E72D297353CC}">
              <c16:uniqueId val="{00000001-3616-42FA-A946-5FA7B2438687}"/>
            </c:ext>
          </c:extLst>
        </c:ser>
        <c:ser>
          <c:idx val="2"/>
          <c:order val="2"/>
          <c:tx>
            <c:strRef>
              <c:f>Sheet1!$R$1:$R$57</c:f>
              <c:strCache>
                <c:ptCount val="57"/>
                <c:pt idx="0">
                  <c:v>Supreme Petrochem Ltd</c:v>
                </c:pt>
                <c:pt idx="1">
                  <c:v>BALANCE SHEET</c:v>
                </c:pt>
                <c:pt idx="2">
                  <c:v>FY18</c:v>
                </c:pt>
                <c:pt idx="3">
                  <c:v> 965.02 </c:v>
                </c:pt>
                <c:pt idx="4">
                  <c:v> 5,490.89 </c:v>
                </c:pt>
                <c:pt idx="5">
                  <c:v> 6,455.91 </c:v>
                </c:pt>
                <c:pt idx="6">
                  <c:v>Minority Int</c:v>
                </c:pt>
                <c:pt idx="7">
                  <c:v>Long Term Debt</c:v>
                </c:pt>
                <c:pt idx="8">
                  <c:v>Short Term Debt</c:v>
                </c:pt>
                <c:pt idx="9">
                  <c:v> -   </c:v>
                </c:pt>
                <c:pt idx="10">
                  <c:v> 6,993.03 </c:v>
                </c:pt>
                <c:pt idx="11">
                  <c:v> 6,993.03 </c:v>
                </c:pt>
                <c:pt idx="12">
                  <c:v> 1,727.17 </c:v>
                </c:pt>
                <c:pt idx="13">
                  <c:v> 4,843.88 </c:v>
                </c:pt>
                <c:pt idx="14">
                  <c:v> 3,570.54 </c:v>
                </c:pt>
                <c:pt idx="15">
                  <c:v> 3,322.40 </c:v>
                </c:pt>
                <c:pt idx="16">
                  <c:v> 11.65 </c:v>
                </c:pt>
                <c:pt idx="17">
                  <c:v>Goodwill on Consolidation</c:v>
                </c:pt>
                <c:pt idx="18">
                  <c:v>Investment Property</c:v>
                </c:pt>
                <c:pt idx="19">
                  <c:v>lntangible Assets Under Devetopment</c:v>
                </c:pt>
                <c:pt idx="20">
                  <c:v> 96.51 </c:v>
                </c:pt>
                <c:pt idx="21">
                  <c:v> -   </c:v>
                </c:pt>
                <c:pt idx="22">
                  <c:v>Financial assets</c:v>
                </c:pt>
                <c:pt idx="23">
                  <c:v>(i) Investment</c:v>
                </c:pt>
                <c:pt idx="24">
                  <c:v> 13.36 </c:v>
                </c:pt>
                <c:pt idx="25">
                  <c:v> 34.59 </c:v>
                </c:pt>
                <c:pt idx="26">
                  <c:v>Non-Current Tax Assets (Net)</c:v>
                </c:pt>
                <c:pt idx="27">
                  <c:v> 92.03 </c:v>
                </c:pt>
                <c:pt idx="28">
                  <c:v> 9,386.99 </c:v>
                </c:pt>
                <c:pt idx="29">
                  <c:v> 3,128.59 </c:v>
                </c:pt>
                <c:pt idx="30">
                  <c:v>Financial assets</c:v>
                </c:pt>
                <c:pt idx="31">
                  <c:v> 1,106.03 </c:v>
                </c:pt>
                <c:pt idx="32">
                  <c:v> 2,952.64 </c:v>
                </c:pt>
                <c:pt idx="33">
                  <c:v> 1,232.69 </c:v>
                </c:pt>
                <c:pt idx="34">
                  <c:v> 51.20 </c:v>
                </c:pt>
                <c:pt idx="35">
                  <c:v> 7.06 </c:v>
                </c:pt>
                <c:pt idx="36">
                  <c:v> 27.09 </c:v>
                </c:pt>
                <c:pt idx="37">
                  <c:v> 22.59 </c:v>
                </c:pt>
                <c:pt idx="38">
                  <c:v> 859.10 </c:v>
                </c:pt>
                <c:pt idx="39">
                  <c:v> 5,964.49 </c:v>
                </c:pt>
                <c:pt idx="40">
                  <c:v>Financial liabilities</c:v>
                </c:pt>
                <c:pt idx="41">
                  <c:v> 5,726.28 </c:v>
                </c:pt>
                <c:pt idx="42">
                  <c:v> 119.85 </c:v>
                </c:pt>
                <c:pt idx="43">
                  <c:v> -   </c:v>
                </c:pt>
                <c:pt idx="44">
                  <c:v> 81.01 </c:v>
                </c:pt>
                <c:pt idx="45">
                  <c:v> 19.25 </c:v>
                </c:pt>
                <c:pt idx="46">
                  <c:v> 18.10 </c:v>
                </c:pt>
                <c:pt idx="47">
                  <c:v> 3,422.50 </c:v>
                </c:pt>
                <c:pt idx="48">
                  <c:v> 18.93 </c:v>
                </c:pt>
                <c:pt idx="49">
                  <c:v> 30.80 </c:v>
                </c:pt>
                <c:pt idx="50">
                  <c:v> -   </c:v>
                </c:pt>
                <c:pt idx="51">
                  <c:v> 487.40 </c:v>
                </c:pt>
                <c:pt idx="52">
                  <c:v> 12,957.52 </c:v>
                </c:pt>
                <c:pt idx="53">
                  <c:v> 12,957.52 </c:v>
                </c:pt>
                <c:pt idx="54">
                  <c:v> 1,47,517.2 </c:v>
                </c:pt>
                <c:pt idx="55">
                  <c:v>KEY RATIOS</c:v>
                </c:pt>
                <c:pt idx="56">
                  <c:v>FY18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Sheet1!$B$58:$O$76</c:f>
              <c:strCache>
                <c:ptCount val="36"/>
                <c:pt idx="13">
                  <c:v>CMP(INR)</c:v>
                </c:pt>
                <c:pt idx="14">
                  <c:v>EPS (INR)</c:v>
                </c:pt>
                <c:pt idx="15">
                  <c:v>BVPS (INR)</c:v>
                </c:pt>
                <c:pt idx="16">
                  <c:v>DPS (INR)</c:v>
                </c:pt>
                <c:pt idx="17">
                  <c:v>P/E (x)</c:v>
                </c:pt>
                <c:pt idx="18">
                  <c:v>P/BV (x)</c:v>
                </c:pt>
                <c:pt idx="19">
                  <c:v>EV/EBIDTA (x)</c:v>
                </c:pt>
                <c:pt idx="20">
                  <c:v>ROE (%)</c:v>
                </c:pt>
                <c:pt idx="21">
                  <c:v>ROCE (%)</c:v>
                </c:pt>
                <c:pt idx="22">
                  <c:v>Gross D/E (x)</c:v>
                </c:pt>
                <c:pt idx="23">
                  <c:v>Net D/E (x)</c:v>
                </c:pt>
                <c:pt idx="24">
                  <c:v>Dividend Yield (%)</c:v>
                </c:pt>
                <c:pt idx="25">
                  <c:v>Debtor Days</c:v>
                </c:pt>
                <c:pt idx="31">
                  <c:v>Inventory Days</c:v>
                </c:pt>
                <c:pt idx="32">
                  <c:v>Cash Conversion cycle</c:v>
                </c:pt>
                <c:pt idx="33">
                  <c:v>Fixed Asset Turnover</c:v>
                </c:pt>
                <c:pt idx="34">
                  <c:v>Interest Coverage Ratio</c:v>
                </c:pt>
                <c:pt idx="35">
                  <c:v>Working Capital Days</c:v>
                </c:pt>
              </c:strCache>
            </c:strRef>
          </c:cat>
          <c:val>
            <c:numRef>
              <c:f>Sheet1!$R$58:$R$76</c:f>
            </c:numRef>
          </c:val>
          <c:extLst>
            <c:ext xmlns:c16="http://schemas.microsoft.com/office/drawing/2014/chart" uri="{C3380CC4-5D6E-409C-BE32-E72D297353CC}">
              <c16:uniqueId val="{00000002-3616-42FA-A946-5FA7B2438687}"/>
            </c:ext>
          </c:extLst>
        </c:ser>
        <c:ser>
          <c:idx val="3"/>
          <c:order val="3"/>
          <c:tx>
            <c:strRef>
              <c:f>Sheet1!$S$1:$S$57</c:f>
              <c:strCache>
                <c:ptCount val="57"/>
                <c:pt idx="0">
                  <c:v>Supreme Petrochem Ltd</c:v>
                </c:pt>
                <c:pt idx="1">
                  <c:v>BALANCE SHEET</c:v>
                </c:pt>
                <c:pt idx="2">
                  <c:v>FY19</c:v>
                </c:pt>
                <c:pt idx="3">
                  <c:v> 965.02 </c:v>
                </c:pt>
                <c:pt idx="4">
                  <c:v> 5,459.27 </c:v>
                </c:pt>
                <c:pt idx="5">
                  <c:v> 6,424.29 </c:v>
                </c:pt>
                <c:pt idx="6">
                  <c:v>Minority Int</c:v>
                </c:pt>
                <c:pt idx="7">
                  <c:v>Long Term Debt</c:v>
                </c:pt>
                <c:pt idx="8">
                  <c:v>Short Term Debt</c:v>
                </c:pt>
                <c:pt idx="9">
                  <c:v> -   </c:v>
                </c:pt>
                <c:pt idx="10">
                  <c:v> 7,006.33 </c:v>
                </c:pt>
                <c:pt idx="11">
                  <c:v> 7,006.33 </c:v>
                </c:pt>
                <c:pt idx="12">
                  <c:v> 1,727.17 </c:v>
                </c:pt>
                <c:pt idx="13">
                  <c:v> 4,843.88 </c:v>
                </c:pt>
                <c:pt idx="14">
                  <c:v> 3,679.15 </c:v>
                </c:pt>
                <c:pt idx="15">
                  <c:v> 3,300.77 </c:v>
                </c:pt>
                <c:pt idx="16">
                  <c:v> 10.48 </c:v>
                </c:pt>
                <c:pt idx="17">
                  <c:v>Goodwill on Consolidation</c:v>
                </c:pt>
                <c:pt idx="18">
                  <c:v>Investment Property</c:v>
                </c:pt>
                <c:pt idx="19">
                  <c:v>lntangible Assets Under Devetopment</c:v>
                </c:pt>
                <c:pt idx="20">
                  <c:v> 237.59 </c:v>
                </c:pt>
                <c:pt idx="21">
                  <c:v> -   </c:v>
                </c:pt>
                <c:pt idx="22">
                  <c:v>Financial assets</c:v>
                </c:pt>
                <c:pt idx="23">
                  <c:v>(i) Investment</c:v>
                </c:pt>
                <c:pt idx="24">
                  <c:v> 8.70 </c:v>
                </c:pt>
                <c:pt idx="25">
                  <c:v> 44.22 </c:v>
                </c:pt>
                <c:pt idx="26">
                  <c:v>Non-Current Tax Assets (Net)</c:v>
                </c:pt>
                <c:pt idx="27">
                  <c:v> 77.40 </c:v>
                </c:pt>
                <c:pt idx="28">
                  <c:v> 8,529.51 </c:v>
                </c:pt>
                <c:pt idx="29">
                  <c:v> 2,450.50 </c:v>
                </c:pt>
                <c:pt idx="30">
                  <c:v>Financial assets</c:v>
                </c:pt>
                <c:pt idx="31">
                  <c:v> 2,507.96 </c:v>
                </c:pt>
                <c:pt idx="32">
                  <c:v> 2,846.89 </c:v>
                </c:pt>
                <c:pt idx="33">
                  <c:v> 330.10 </c:v>
                </c:pt>
                <c:pt idx="34">
                  <c:v> 52.90 </c:v>
                </c:pt>
                <c:pt idx="35">
                  <c:v> 8.03 </c:v>
                </c:pt>
                <c:pt idx="36">
                  <c:v> 17.19 </c:v>
                </c:pt>
                <c:pt idx="37">
                  <c:v> 22.96 </c:v>
                </c:pt>
                <c:pt idx="38">
                  <c:v> 292.99 </c:v>
                </c:pt>
                <c:pt idx="39">
                  <c:v> 5,202.33 </c:v>
                </c:pt>
                <c:pt idx="40">
                  <c:v>Financial liabilities</c:v>
                </c:pt>
                <c:pt idx="41">
                  <c:v> 4,741.16 </c:v>
                </c:pt>
                <c:pt idx="42">
                  <c:v> 241.13 </c:v>
                </c:pt>
                <c:pt idx="43">
                  <c:v> -   </c:v>
                </c:pt>
                <c:pt idx="44">
                  <c:v> 185.82 </c:v>
                </c:pt>
                <c:pt idx="45">
                  <c:v> 16.00 </c:v>
                </c:pt>
                <c:pt idx="46">
                  <c:v> 18.22 </c:v>
                </c:pt>
                <c:pt idx="47">
                  <c:v> 3,327.18 </c:v>
                </c:pt>
                <c:pt idx="48">
                  <c:v> 22.60 </c:v>
                </c:pt>
                <c:pt idx="49">
                  <c:v> 36.14 </c:v>
                </c:pt>
                <c:pt idx="50">
                  <c:v> -   </c:v>
                </c:pt>
                <c:pt idx="51">
                  <c:v> 523.31 </c:v>
                </c:pt>
                <c:pt idx="52">
                  <c:v> 12,208.66 </c:v>
                </c:pt>
                <c:pt idx="53">
                  <c:v> 12,208.66 </c:v>
                </c:pt>
                <c:pt idx="54">
                  <c:v> 1,47,517.2 </c:v>
                </c:pt>
                <c:pt idx="55">
                  <c:v>KEY RATIOS</c:v>
                </c:pt>
                <c:pt idx="56">
                  <c:v>FY19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Sheet1!$B$58:$O$76</c:f>
              <c:strCache>
                <c:ptCount val="36"/>
                <c:pt idx="13">
                  <c:v>CMP(INR)</c:v>
                </c:pt>
                <c:pt idx="14">
                  <c:v>EPS (INR)</c:v>
                </c:pt>
                <c:pt idx="15">
                  <c:v>BVPS (INR)</c:v>
                </c:pt>
                <c:pt idx="16">
                  <c:v>DPS (INR)</c:v>
                </c:pt>
                <c:pt idx="17">
                  <c:v>P/E (x)</c:v>
                </c:pt>
                <c:pt idx="18">
                  <c:v>P/BV (x)</c:v>
                </c:pt>
                <c:pt idx="19">
                  <c:v>EV/EBIDTA (x)</c:v>
                </c:pt>
                <c:pt idx="20">
                  <c:v>ROE (%)</c:v>
                </c:pt>
                <c:pt idx="21">
                  <c:v>ROCE (%)</c:v>
                </c:pt>
                <c:pt idx="22">
                  <c:v>Gross D/E (x)</c:v>
                </c:pt>
                <c:pt idx="23">
                  <c:v>Net D/E (x)</c:v>
                </c:pt>
                <c:pt idx="24">
                  <c:v>Dividend Yield (%)</c:v>
                </c:pt>
                <c:pt idx="25">
                  <c:v>Debtor Days</c:v>
                </c:pt>
                <c:pt idx="31">
                  <c:v>Inventory Days</c:v>
                </c:pt>
                <c:pt idx="32">
                  <c:v>Cash Conversion cycle</c:v>
                </c:pt>
                <c:pt idx="33">
                  <c:v>Fixed Asset Turnover</c:v>
                </c:pt>
                <c:pt idx="34">
                  <c:v>Interest Coverage Ratio</c:v>
                </c:pt>
                <c:pt idx="35">
                  <c:v>Working Capital Days</c:v>
                </c:pt>
              </c:strCache>
            </c:strRef>
          </c:cat>
          <c:val>
            <c:numRef>
              <c:f>Sheet1!$S$58:$S$76</c:f>
            </c:numRef>
          </c:val>
          <c:extLst>
            <c:ext xmlns:c16="http://schemas.microsoft.com/office/drawing/2014/chart" uri="{C3380CC4-5D6E-409C-BE32-E72D297353CC}">
              <c16:uniqueId val="{00000003-3616-42FA-A946-5FA7B2438687}"/>
            </c:ext>
          </c:extLst>
        </c:ser>
        <c:ser>
          <c:idx val="4"/>
          <c:order val="4"/>
          <c:tx>
            <c:strRef>
              <c:f>Sheet1!$T$1:$T$57</c:f>
              <c:strCache>
                <c:ptCount val="57"/>
                <c:pt idx="0">
                  <c:v>Supreme Petrochem Ltd</c:v>
                </c:pt>
                <c:pt idx="1">
                  <c:v>BALANCE SHEET</c:v>
                </c:pt>
                <c:pt idx="2">
                  <c:v>FY20</c:v>
                </c:pt>
                <c:pt idx="3">
                  <c:v> 964.36 </c:v>
                </c:pt>
                <c:pt idx="4">
                  <c:v> 5,768.41 </c:v>
                </c:pt>
                <c:pt idx="5">
                  <c:v> 6,732.77 </c:v>
                </c:pt>
                <c:pt idx="6">
                  <c:v>Minority Int</c:v>
                </c:pt>
                <c:pt idx="7">
                  <c:v>Long Term Debt</c:v>
                </c:pt>
                <c:pt idx="8">
                  <c:v>Short Term Debt</c:v>
                </c:pt>
                <c:pt idx="9">
                  <c:v> -   </c:v>
                </c:pt>
                <c:pt idx="10">
                  <c:v> 7,341.51 </c:v>
                </c:pt>
                <c:pt idx="11">
                  <c:v> 7,341.51 </c:v>
                </c:pt>
                <c:pt idx="12">
                  <c:v> 1,727.17 </c:v>
                </c:pt>
                <c:pt idx="13">
                  <c:v> 4,843.88 </c:v>
                </c:pt>
                <c:pt idx="14">
                  <c:v> 3,877.60 </c:v>
                </c:pt>
                <c:pt idx="15">
                  <c:v> 3,416.26 </c:v>
                </c:pt>
                <c:pt idx="16">
                  <c:v> 8.02 </c:v>
                </c:pt>
                <c:pt idx="17">
                  <c:v>Goodwill on Consolidation</c:v>
                </c:pt>
                <c:pt idx="18">
                  <c:v>Investment Property</c:v>
                </c:pt>
                <c:pt idx="19">
                  <c:v>lntangible Assets Under Devetopment</c:v>
                </c:pt>
                <c:pt idx="20">
                  <c:v> 84.03 </c:v>
                </c:pt>
                <c:pt idx="21">
                  <c:v> 284.74 </c:v>
                </c:pt>
                <c:pt idx="22">
                  <c:v>Financial assets</c:v>
                </c:pt>
                <c:pt idx="23">
                  <c:v>(i) Investment</c:v>
                </c:pt>
                <c:pt idx="24">
                  <c:v> 12.51 </c:v>
                </c:pt>
                <c:pt idx="25">
                  <c:v> 41.20 </c:v>
                </c:pt>
                <c:pt idx="26">
                  <c:v>Non-Current Tax Assets (Net)</c:v>
                </c:pt>
                <c:pt idx="27">
                  <c:v> 30.86 </c:v>
                </c:pt>
                <c:pt idx="28">
                  <c:v> 8,672.95 </c:v>
                </c:pt>
                <c:pt idx="29">
                  <c:v> 2,584.30 </c:v>
                </c:pt>
                <c:pt idx="30">
                  <c:v>Financial assets</c:v>
                </c:pt>
                <c:pt idx="31">
                  <c:v> 1,348.13 </c:v>
                </c:pt>
                <c:pt idx="32">
                  <c:v> 2,480.83 </c:v>
                </c:pt>
                <c:pt idx="33">
                  <c:v> 1,709.04 </c:v>
                </c:pt>
                <c:pt idx="34">
                  <c:v> 49.48 </c:v>
                </c:pt>
                <c:pt idx="35">
                  <c:v> 8.98 </c:v>
                </c:pt>
                <c:pt idx="36">
                  <c:v> 71.99 </c:v>
                </c:pt>
                <c:pt idx="37">
                  <c:v> 102.76 </c:v>
                </c:pt>
                <c:pt idx="38">
                  <c:v> 317.45 </c:v>
                </c:pt>
                <c:pt idx="39">
                  <c:v> 5,209.04 </c:v>
                </c:pt>
                <c:pt idx="40">
                  <c:v>Financial liabilities</c:v>
                </c:pt>
                <c:pt idx="41">
                  <c:v> 4,761.65 </c:v>
                </c:pt>
                <c:pt idx="42">
                  <c:v> 196.82 </c:v>
                </c:pt>
                <c:pt idx="43">
                  <c:v> 122.12 </c:v>
                </c:pt>
                <c:pt idx="44">
                  <c:v> 104.46 </c:v>
                </c:pt>
                <c:pt idx="45">
                  <c:v> 21.36 </c:v>
                </c:pt>
                <c:pt idx="46">
                  <c:v> 2.64 </c:v>
                </c:pt>
                <c:pt idx="47">
                  <c:v> 3,463.91 </c:v>
                </c:pt>
                <c:pt idx="48">
                  <c:v> 29.11 </c:v>
                </c:pt>
                <c:pt idx="49">
                  <c:v> 34.65 </c:v>
                </c:pt>
                <c:pt idx="50">
                  <c:v> 170.72 </c:v>
                </c:pt>
                <c:pt idx="51">
                  <c:v> 374.26 </c:v>
                </c:pt>
                <c:pt idx="52">
                  <c:v> 12,550.55 </c:v>
                </c:pt>
                <c:pt idx="53">
                  <c:v> 12,550.55 </c:v>
                </c:pt>
                <c:pt idx="54">
                  <c:v> 1,47,517.2 </c:v>
                </c:pt>
                <c:pt idx="55">
                  <c:v>KEY RATIOS</c:v>
                </c:pt>
                <c:pt idx="56">
                  <c:v>FY20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Sheet1!$B$58:$O$76</c:f>
              <c:strCache>
                <c:ptCount val="36"/>
                <c:pt idx="13">
                  <c:v>CMP(INR)</c:v>
                </c:pt>
                <c:pt idx="14">
                  <c:v>EPS (INR)</c:v>
                </c:pt>
                <c:pt idx="15">
                  <c:v>BVPS (INR)</c:v>
                </c:pt>
                <c:pt idx="16">
                  <c:v>DPS (INR)</c:v>
                </c:pt>
                <c:pt idx="17">
                  <c:v>P/E (x)</c:v>
                </c:pt>
                <c:pt idx="18">
                  <c:v>P/BV (x)</c:v>
                </c:pt>
                <c:pt idx="19">
                  <c:v>EV/EBIDTA (x)</c:v>
                </c:pt>
                <c:pt idx="20">
                  <c:v>ROE (%)</c:v>
                </c:pt>
                <c:pt idx="21">
                  <c:v>ROCE (%)</c:v>
                </c:pt>
                <c:pt idx="22">
                  <c:v>Gross D/E (x)</c:v>
                </c:pt>
                <c:pt idx="23">
                  <c:v>Net D/E (x)</c:v>
                </c:pt>
                <c:pt idx="24">
                  <c:v>Dividend Yield (%)</c:v>
                </c:pt>
                <c:pt idx="25">
                  <c:v>Debtor Days</c:v>
                </c:pt>
                <c:pt idx="31">
                  <c:v>Inventory Days</c:v>
                </c:pt>
                <c:pt idx="32">
                  <c:v>Cash Conversion cycle</c:v>
                </c:pt>
                <c:pt idx="33">
                  <c:v>Fixed Asset Turnover</c:v>
                </c:pt>
                <c:pt idx="34">
                  <c:v>Interest Coverage Ratio</c:v>
                </c:pt>
                <c:pt idx="35">
                  <c:v>Working Capital Days</c:v>
                </c:pt>
              </c:strCache>
            </c:strRef>
          </c:cat>
          <c:val>
            <c:numRef>
              <c:f>Sheet1!$T$58:$T$76</c:f>
            </c:numRef>
          </c:val>
          <c:extLst>
            <c:ext xmlns:c16="http://schemas.microsoft.com/office/drawing/2014/chart" uri="{C3380CC4-5D6E-409C-BE32-E72D297353CC}">
              <c16:uniqueId val="{00000004-3616-42FA-A946-5FA7B2438687}"/>
            </c:ext>
          </c:extLst>
        </c:ser>
        <c:ser>
          <c:idx val="5"/>
          <c:order val="5"/>
          <c:tx>
            <c:strRef>
              <c:f>Sheet1!$U$1:$U$57</c:f>
              <c:strCache>
                <c:ptCount val="57"/>
                <c:pt idx="0">
                  <c:v>Supreme Petrochem Ltd</c:v>
                </c:pt>
                <c:pt idx="1">
                  <c:v>BALANCE SHEET</c:v>
                </c:pt>
                <c:pt idx="2">
                  <c:v>FY21</c:v>
                </c:pt>
                <c:pt idx="3">
                  <c:v> 940.21 </c:v>
                </c:pt>
                <c:pt idx="4">
                  <c:v> 9,708.24 </c:v>
                </c:pt>
                <c:pt idx="5">
                  <c:v> 10,648.45 </c:v>
                </c:pt>
                <c:pt idx="6">
                  <c:v>Minority Int</c:v>
                </c:pt>
                <c:pt idx="7">
                  <c:v>Long Term Debt</c:v>
                </c:pt>
                <c:pt idx="8">
                  <c:v>Short Term Debt</c:v>
                </c:pt>
                <c:pt idx="9">
                  <c:v> -   </c:v>
                </c:pt>
                <c:pt idx="10">
                  <c:v> 11,337.36 </c:v>
                </c:pt>
                <c:pt idx="11">
                  <c:v> 11,337.36 </c:v>
                </c:pt>
                <c:pt idx="12">
                  <c:v> 1,727.17 </c:v>
                </c:pt>
                <c:pt idx="13">
                  <c:v> 4,843.88 </c:v>
                </c:pt>
                <c:pt idx="14">
                  <c:v> 3,902.78 </c:v>
                </c:pt>
                <c:pt idx="15">
                  <c:v> 3,189.48 </c:v>
                </c:pt>
                <c:pt idx="16">
                  <c:v> 6.36 </c:v>
                </c:pt>
                <c:pt idx="17">
                  <c:v>Goodwill on Consolidation</c:v>
                </c:pt>
                <c:pt idx="18">
                  <c:v>Investment Property</c:v>
                </c:pt>
                <c:pt idx="19">
                  <c:v>lntangible Assets Under Devetopment</c:v>
                </c:pt>
                <c:pt idx="20">
                  <c:v> 90.66 </c:v>
                </c:pt>
                <c:pt idx="21">
                  <c:v> 392.56 </c:v>
                </c:pt>
                <c:pt idx="22">
                  <c:v>Financial assets</c:v>
                </c:pt>
                <c:pt idx="23">
                  <c:v>(i) Investment</c:v>
                </c:pt>
                <c:pt idx="24">
                  <c:v> 8.52 </c:v>
                </c:pt>
                <c:pt idx="25">
                  <c:v> 53.25 </c:v>
                </c:pt>
                <c:pt idx="26">
                  <c:v>Non-Current Tax Assets (Net)</c:v>
                </c:pt>
                <c:pt idx="27">
                  <c:v> 161.95 </c:v>
                </c:pt>
                <c:pt idx="28">
                  <c:v> 13,650.59 </c:v>
                </c:pt>
                <c:pt idx="29">
                  <c:v> 3,178.08 </c:v>
                </c:pt>
                <c:pt idx="30">
                  <c:v>Financial assets</c:v>
                </c:pt>
                <c:pt idx="31">
                  <c:v> 4,702.83 </c:v>
                </c:pt>
                <c:pt idx="32">
                  <c:v> 3,833.35 </c:v>
                </c:pt>
                <c:pt idx="33">
                  <c:v> 660.77 </c:v>
                </c:pt>
                <c:pt idx="34">
                  <c:v> 406.72 </c:v>
                </c:pt>
                <c:pt idx="35">
                  <c:v> 6.45 </c:v>
                </c:pt>
                <c:pt idx="36">
                  <c:v> 567.92 </c:v>
                </c:pt>
                <c:pt idx="37">
                  <c:v> 84.61 </c:v>
                </c:pt>
                <c:pt idx="38">
                  <c:v> 209.87 </c:v>
                </c:pt>
                <c:pt idx="39">
                  <c:v> 6,216.02 </c:v>
                </c:pt>
                <c:pt idx="40">
                  <c:v>Financial liabilities</c:v>
                </c:pt>
                <c:pt idx="41">
                  <c:v> 5,685.41 </c:v>
                </c:pt>
                <c:pt idx="42">
                  <c:v> 192.26 </c:v>
                </c:pt>
                <c:pt idx="43">
                  <c:v> 148.38 </c:v>
                </c:pt>
                <c:pt idx="44">
                  <c:v> 152.41 </c:v>
                </c:pt>
                <c:pt idx="45">
                  <c:v> 24.67 </c:v>
                </c:pt>
                <c:pt idx="46">
                  <c:v> 12.89 </c:v>
                </c:pt>
                <c:pt idx="47">
                  <c:v> 7,434.57 </c:v>
                </c:pt>
                <c:pt idx="48">
                  <c:v> 36.39 </c:v>
                </c:pt>
                <c:pt idx="49">
                  <c:v> 33.38 </c:v>
                </c:pt>
                <c:pt idx="50">
                  <c:v> 262.22 </c:v>
                </c:pt>
                <c:pt idx="51">
                  <c:v> 356.92 </c:v>
                </c:pt>
                <c:pt idx="52">
                  <c:v> 17,553.38 </c:v>
                </c:pt>
                <c:pt idx="53">
                  <c:v> 17,553.38 </c:v>
                </c:pt>
                <c:pt idx="54">
                  <c:v> 1,47,517.2 </c:v>
                </c:pt>
                <c:pt idx="55">
                  <c:v>KEY RATIOS</c:v>
                </c:pt>
                <c:pt idx="56">
                  <c:v>FY21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Sheet1!$B$58:$O$76</c:f>
              <c:strCache>
                <c:ptCount val="36"/>
                <c:pt idx="13">
                  <c:v>CMP(INR)</c:v>
                </c:pt>
                <c:pt idx="14">
                  <c:v>EPS (INR)</c:v>
                </c:pt>
                <c:pt idx="15">
                  <c:v>BVPS (INR)</c:v>
                </c:pt>
                <c:pt idx="16">
                  <c:v>DPS (INR)</c:v>
                </c:pt>
                <c:pt idx="17">
                  <c:v>P/E (x)</c:v>
                </c:pt>
                <c:pt idx="18">
                  <c:v>P/BV (x)</c:v>
                </c:pt>
                <c:pt idx="19">
                  <c:v>EV/EBIDTA (x)</c:v>
                </c:pt>
                <c:pt idx="20">
                  <c:v>ROE (%)</c:v>
                </c:pt>
                <c:pt idx="21">
                  <c:v>ROCE (%)</c:v>
                </c:pt>
                <c:pt idx="22">
                  <c:v>Gross D/E (x)</c:v>
                </c:pt>
                <c:pt idx="23">
                  <c:v>Net D/E (x)</c:v>
                </c:pt>
                <c:pt idx="24">
                  <c:v>Dividend Yield (%)</c:v>
                </c:pt>
                <c:pt idx="25">
                  <c:v>Debtor Days</c:v>
                </c:pt>
                <c:pt idx="31">
                  <c:v>Inventory Days</c:v>
                </c:pt>
                <c:pt idx="32">
                  <c:v>Cash Conversion cycle</c:v>
                </c:pt>
                <c:pt idx="33">
                  <c:v>Fixed Asset Turnover</c:v>
                </c:pt>
                <c:pt idx="34">
                  <c:v>Interest Coverage Ratio</c:v>
                </c:pt>
                <c:pt idx="35">
                  <c:v>Working Capital Days</c:v>
                </c:pt>
              </c:strCache>
            </c:strRef>
          </c:cat>
          <c:val>
            <c:numRef>
              <c:f>Sheet1!$U$58:$U$76</c:f>
            </c:numRef>
          </c:val>
          <c:extLst>
            <c:ext xmlns:c16="http://schemas.microsoft.com/office/drawing/2014/chart" uri="{C3380CC4-5D6E-409C-BE32-E72D297353CC}">
              <c16:uniqueId val="{00000005-3616-42FA-A946-5FA7B2438687}"/>
            </c:ext>
          </c:extLst>
        </c:ser>
        <c:ser>
          <c:idx val="6"/>
          <c:order val="6"/>
          <c:tx>
            <c:strRef>
              <c:f>Sheet1!$V$1:$V$57</c:f>
              <c:strCache>
                <c:ptCount val="57"/>
                <c:pt idx="0">
                  <c:v>Supreme Petrochem Ltd</c:v>
                </c:pt>
                <c:pt idx="1">
                  <c:v>BALANCE SHEET</c:v>
                </c:pt>
                <c:pt idx="2">
                  <c:v>FY22</c:v>
                </c:pt>
                <c:pt idx="3">
                  <c:v>376.08</c:v>
                </c:pt>
                <c:pt idx="4">
                  <c:v>14780.24</c:v>
                </c:pt>
                <c:pt idx="5">
                  <c:v> 15,156.32 </c:v>
                </c:pt>
                <c:pt idx="6">
                  <c:v>Minority Int</c:v>
                </c:pt>
                <c:pt idx="7">
                  <c:v>Long Term Debt</c:v>
                </c:pt>
                <c:pt idx="8">
                  <c:v>Short Term Debt</c:v>
                </c:pt>
                <c:pt idx="9">
                  <c:v> -   </c:v>
                </c:pt>
                <c:pt idx="10">
                  <c:v> 15,734.51 </c:v>
                </c:pt>
                <c:pt idx="11">
                  <c:v> 15,734.47 </c:v>
                </c:pt>
                <c:pt idx="12">
                  <c:v> 1,727.17 </c:v>
                </c:pt>
                <c:pt idx="13">
                  <c:v> 4,843.88 </c:v>
                </c:pt>
                <c:pt idx="14">
                  <c:v> 5,333.32 </c:v>
                </c:pt>
                <c:pt idx="15">
                  <c:v> 3,020.05 </c:v>
                </c:pt>
                <c:pt idx="16">
                  <c:v> 4.86 </c:v>
                </c:pt>
                <c:pt idx="17">
                  <c:v>Goodwill on Consolidation</c:v>
                </c:pt>
                <c:pt idx="18">
                  <c:v>Investment Property</c:v>
                </c:pt>
                <c:pt idx="19">
                  <c:v>lntangible Assets Under Devetopment</c:v>
                </c:pt>
                <c:pt idx="20">
                  <c:v> 1,789.44 </c:v>
                </c:pt>
                <c:pt idx="21">
                  <c:v> 344.10 </c:v>
                </c:pt>
                <c:pt idx="22">
                  <c:v>Financial assets</c:v>
                </c:pt>
                <c:pt idx="23">
                  <c:v>(i) Investment</c:v>
                </c:pt>
                <c:pt idx="24">
                  <c:v> 12.40 </c:v>
                </c:pt>
                <c:pt idx="25">
                  <c:v> 47.82 </c:v>
                </c:pt>
                <c:pt idx="26">
                  <c:v>Non-Current Tax Assets (Net)</c:v>
                </c:pt>
                <c:pt idx="27">
                  <c:v> 114.65 </c:v>
                </c:pt>
                <c:pt idx="28">
                  <c:v> 17,449.55 </c:v>
                </c:pt>
                <c:pt idx="29">
                  <c:v>3007.55</c:v>
                </c:pt>
                <c:pt idx="30">
                  <c:v>Financial assets</c:v>
                </c:pt>
                <c:pt idx="31">
                  <c:v>4837.88</c:v>
                </c:pt>
                <c:pt idx="32">
                  <c:v>4117.84</c:v>
                </c:pt>
                <c:pt idx="33">
                  <c:v>2175.38</c:v>
                </c:pt>
                <c:pt idx="34">
                  <c:v>2299.1</c:v>
                </c:pt>
                <c:pt idx="35">
                  <c:v>7.68</c:v>
                </c:pt>
                <c:pt idx="36">
                  <c:v>600.34</c:v>
                </c:pt>
                <c:pt idx="37">
                  <c:v>87.94</c:v>
                </c:pt>
                <c:pt idx="38">
                  <c:v>315.84</c:v>
                </c:pt>
                <c:pt idx="39">
                  <c:v> 7,048.40 </c:v>
                </c:pt>
                <c:pt idx="40">
                  <c:v>Financial liabilities</c:v>
                </c:pt>
                <c:pt idx="41">
                  <c:v>5259.34</c:v>
                </c:pt>
                <c:pt idx="42">
                  <c:v>966.47</c:v>
                </c:pt>
                <c:pt idx="43">
                  <c:v>205.62</c:v>
                </c:pt>
                <c:pt idx="44">
                  <c:v>589.85</c:v>
                </c:pt>
                <c:pt idx="45">
                  <c:v>26.13</c:v>
                </c:pt>
                <c:pt idx="46">
                  <c:v>0.99</c:v>
                </c:pt>
                <c:pt idx="47">
                  <c:v> 10,401.15 </c:v>
                </c:pt>
                <c:pt idx="48">
                  <c:v>34.25</c:v>
                </c:pt>
                <c:pt idx="49">
                  <c:v>33.14</c:v>
                </c:pt>
                <c:pt idx="50">
                  <c:v>166.71</c:v>
                </c:pt>
                <c:pt idx="51">
                  <c:v>344.09</c:v>
                </c:pt>
                <c:pt idx="52">
                  <c:v> 22,782.87 </c:v>
                </c:pt>
                <c:pt idx="53">
                  <c:v> 22,782.91 </c:v>
                </c:pt>
                <c:pt idx="54">
                  <c:v> 1,47,517.2 </c:v>
                </c:pt>
                <c:pt idx="55">
                  <c:v>KEY RATIOS</c:v>
                </c:pt>
                <c:pt idx="56">
                  <c:v>FY22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Sheet1!$B$58:$O$76</c:f>
              <c:strCache>
                <c:ptCount val="36"/>
                <c:pt idx="13">
                  <c:v>CMP(INR)</c:v>
                </c:pt>
                <c:pt idx="14">
                  <c:v>EPS (INR)</c:v>
                </c:pt>
                <c:pt idx="15">
                  <c:v>BVPS (INR)</c:v>
                </c:pt>
                <c:pt idx="16">
                  <c:v>DPS (INR)</c:v>
                </c:pt>
                <c:pt idx="17">
                  <c:v>P/E (x)</c:v>
                </c:pt>
                <c:pt idx="18">
                  <c:v>P/BV (x)</c:v>
                </c:pt>
                <c:pt idx="19">
                  <c:v>EV/EBIDTA (x)</c:v>
                </c:pt>
                <c:pt idx="20">
                  <c:v>ROE (%)</c:v>
                </c:pt>
                <c:pt idx="21">
                  <c:v>ROCE (%)</c:v>
                </c:pt>
                <c:pt idx="22">
                  <c:v>Gross D/E (x)</c:v>
                </c:pt>
                <c:pt idx="23">
                  <c:v>Net D/E (x)</c:v>
                </c:pt>
                <c:pt idx="24">
                  <c:v>Dividend Yield (%)</c:v>
                </c:pt>
                <c:pt idx="25">
                  <c:v>Debtor Days</c:v>
                </c:pt>
                <c:pt idx="31">
                  <c:v>Inventory Days</c:v>
                </c:pt>
                <c:pt idx="32">
                  <c:v>Cash Conversion cycle</c:v>
                </c:pt>
                <c:pt idx="33">
                  <c:v>Fixed Asset Turnover</c:v>
                </c:pt>
                <c:pt idx="34">
                  <c:v>Interest Coverage Ratio</c:v>
                </c:pt>
                <c:pt idx="35">
                  <c:v>Working Capital Days</c:v>
                </c:pt>
              </c:strCache>
            </c:strRef>
          </c:cat>
          <c:val>
            <c:numRef>
              <c:f>Sheet1!$V$58:$V$76</c:f>
              <c:numCache>
                <c:formatCode>0.00</c:formatCode>
                <c:ptCount val="18"/>
                <c:pt idx="0" formatCode="General">
                  <c:v>462.3</c:v>
                </c:pt>
                <c:pt idx="1">
                  <c:v>35.270000000000003</c:v>
                </c:pt>
                <c:pt idx="2" formatCode="_(* #,##0.00_);_(* \(#,##0.00\);_(* &quot;-&quot;??_);_(@_)">
                  <c:v>80.600998901613877</c:v>
                </c:pt>
                <c:pt idx="3">
                  <c:v>18</c:v>
                </c:pt>
                <c:pt idx="4">
                  <c:v>13.107456762120782</c:v>
                </c:pt>
                <c:pt idx="5" formatCode="_(* #,##0.00_);_(* \(#,##0.00\);_(* &quot;-&quot;??_);_(@_)">
                  <c:v>5.7356609260427334</c:v>
                </c:pt>
                <c:pt idx="6">
                  <c:v>9.1219363811756917</c:v>
                </c:pt>
                <c:pt idx="7" formatCode="0.00%">
                  <c:v>0.43761684894486297</c:v>
                </c:pt>
                <c:pt idx="8" formatCode="0.00%">
                  <c:v>0.56728309729906445</c:v>
                </c:pt>
                <c:pt idx="9">
                  <c:v>0</c:v>
                </c:pt>
                <c:pt idx="10">
                  <c:v>-0.61442091483948613</c:v>
                </c:pt>
                <c:pt idx="11" formatCode="0.00%">
                  <c:v>3.8935756002595717E-2</c:v>
                </c:pt>
                <c:pt idx="12" formatCode="0">
                  <c:v>28.835599733926649</c:v>
                </c:pt>
                <c:pt idx="13" formatCode="0">
                  <c:v>27.344490458474208</c:v>
                </c:pt>
                <c:pt idx="14" formatCode="0">
                  <c:v>7.7971984522924913</c:v>
                </c:pt>
                <c:pt idx="15">
                  <c:v>16.208301111356253</c:v>
                </c:pt>
                <c:pt idx="16">
                  <c:v>0</c:v>
                </c:pt>
                <c:pt idx="17">
                  <c:v>64.682579818526577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616-42FA-A946-5FA7B2438687}"/>
            </c:ext>
          </c:extLst>
        </c:ser>
        <c:ser>
          <c:idx val="7"/>
          <c:order val="7"/>
          <c:tx>
            <c:strRef>
              <c:f>Sheet1!$W$1:$W$57</c:f>
              <c:strCache>
                <c:ptCount val="57"/>
                <c:pt idx="0">
                  <c:v>Supreme Petrochem Ltd</c:v>
                </c:pt>
                <c:pt idx="1">
                  <c:v>BALANCE SHEET</c:v>
                </c:pt>
                <c:pt idx="2">
                  <c:v>FY23</c:v>
                </c:pt>
                <c:pt idx="3">
                  <c:v> 376.08 </c:v>
                </c:pt>
                <c:pt idx="4">
                  <c:v> 18,062.58 </c:v>
                </c:pt>
                <c:pt idx="5">
                  <c:v> 18,438.66 </c:v>
                </c:pt>
                <c:pt idx="6">
                  <c:v>Minority Int</c:v>
                </c:pt>
                <c:pt idx="7">
                  <c:v>Long Term Debt</c:v>
                </c:pt>
                <c:pt idx="8">
                  <c:v>Short Term Debt</c:v>
                </c:pt>
                <c:pt idx="9">
                  <c:v> -   </c:v>
                </c:pt>
                <c:pt idx="10">
                  <c:v> 18,888.45 </c:v>
                </c:pt>
                <c:pt idx="11">
                  <c:v> 18,888.44 </c:v>
                </c:pt>
                <c:pt idx="12">
                  <c:v> 1,727.17 </c:v>
                </c:pt>
                <c:pt idx="13">
                  <c:v> 4,843.88 </c:v>
                </c:pt>
                <c:pt idx="14">
                  <c:v> 7,025.86 </c:v>
                </c:pt>
                <c:pt idx="15">
                  <c:v> 5,115.12 </c:v>
                </c:pt>
                <c:pt idx="16">
                  <c:v> 3.88 </c:v>
                </c:pt>
                <c:pt idx="17">
                  <c:v>Goodwill on Consolidation</c:v>
                </c:pt>
                <c:pt idx="18">
                  <c:v>Investment Property</c:v>
                </c:pt>
                <c:pt idx="19">
                  <c:v>lntangible Assets Under Devetopment</c:v>
                </c:pt>
                <c:pt idx="20">
                  <c:v> 1,080.43 </c:v>
                </c:pt>
                <c:pt idx="21">
                  <c:v> 147.05 </c:v>
                </c:pt>
                <c:pt idx="22">
                  <c:v>Financial assets</c:v>
                </c:pt>
                <c:pt idx="23">
                  <c:v>(i) Investment</c:v>
                </c:pt>
                <c:pt idx="24">
                  <c:v> 19.49 </c:v>
                </c:pt>
                <c:pt idx="25">
                  <c:v> 253.77 </c:v>
                </c:pt>
                <c:pt idx="26">
                  <c:v>Non-Current Tax Assets (Net)</c:v>
                </c:pt>
                <c:pt idx="27">
                  <c:v> 406.12 </c:v>
                </c:pt>
                <c:pt idx="28">
                  <c:v> 20,284.33 </c:v>
                </c:pt>
                <c:pt idx="29">
                  <c:v> 6,469.31 </c:v>
                </c:pt>
                <c:pt idx="30">
                  <c:v>Financial assets</c:v>
                </c:pt>
                <c:pt idx="31">
                  <c:v> 5,625.51 </c:v>
                </c:pt>
                <c:pt idx="32">
                  <c:v> 3,622.91 </c:v>
                </c:pt>
                <c:pt idx="33">
                  <c:v> 818.15 </c:v>
                </c:pt>
                <c:pt idx="34">
                  <c:v> 2,677.03 </c:v>
                </c:pt>
                <c:pt idx="35">
                  <c:v> 8.78 </c:v>
                </c:pt>
                <c:pt idx="36">
                  <c:v> 563.01 </c:v>
                </c:pt>
                <c:pt idx="37">
                  <c:v> 130.34 </c:v>
                </c:pt>
                <c:pt idx="38">
                  <c:v> 369.30 </c:v>
                </c:pt>
                <c:pt idx="39">
                  <c:v> 8,421.75 </c:v>
                </c:pt>
                <c:pt idx="40">
                  <c:v>Financial liabilities</c:v>
                </c:pt>
                <c:pt idx="41">
                  <c:v> 7,820.23 </c:v>
                </c:pt>
                <c:pt idx="42">
                  <c:v> 296.15 </c:v>
                </c:pt>
                <c:pt idx="43">
                  <c:v> 142.88 </c:v>
                </c:pt>
                <c:pt idx="44">
                  <c:v> 134.50 </c:v>
                </c:pt>
                <c:pt idx="45">
                  <c:v> 21.88 </c:v>
                </c:pt>
                <c:pt idx="46">
                  <c:v> 6.12 </c:v>
                </c:pt>
                <c:pt idx="47">
                  <c:v> 11,862.58 </c:v>
                </c:pt>
                <c:pt idx="48">
                  <c:v> 36.20 </c:v>
                </c:pt>
                <c:pt idx="49">
                  <c:v> 35.83 </c:v>
                </c:pt>
                <c:pt idx="50">
                  <c:v> 23.69 </c:v>
                </c:pt>
                <c:pt idx="51">
                  <c:v> 354.07 </c:v>
                </c:pt>
                <c:pt idx="52">
                  <c:v> 27,310.19 </c:v>
                </c:pt>
                <c:pt idx="53">
                  <c:v> 27,310.20 </c:v>
                </c:pt>
                <c:pt idx="54">
                  <c:v> 1,47,517.2 </c:v>
                </c:pt>
                <c:pt idx="55">
                  <c:v>KEY RATIOS</c:v>
                </c:pt>
                <c:pt idx="56">
                  <c:v>FY23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Sheet1!$B$58:$O$76</c:f>
              <c:strCache>
                <c:ptCount val="36"/>
                <c:pt idx="13">
                  <c:v>CMP(INR)</c:v>
                </c:pt>
                <c:pt idx="14">
                  <c:v>EPS (INR)</c:v>
                </c:pt>
                <c:pt idx="15">
                  <c:v>BVPS (INR)</c:v>
                </c:pt>
                <c:pt idx="16">
                  <c:v>DPS (INR)</c:v>
                </c:pt>
                <c:pt idx="17">
                  <c:v>P/E (x)</c:v>
                </c:pt>
                <c:pt idx="18">
                  <c:v>P/BV (x)</c:v>
                </c:pt>
                <c:pt idx="19">
                  <c:v>EV/EBIDTA (x)</c:v>
                </c:pt>
                <c:pt idx="20">
                  <c:v>ROE (%)</c:v>
                </c:pt>
                <c:pt idx="21">
                  <c:v>ROCE (%)</c:v>
                </c:pt>
                <c:pt idx="22">
                  <c:v>Gross D/E (x)</c:v>
                </c:pt>
                <c:pt idx="23">
                  <c:v>Net D/E (x)</c:v>
                </c:pt>
                <c:pt idx="24">
                  <c:v>Dividend Yield (%)</c:v>
                </c:pt>
                <c:pt idx="25">
                  <c:v>Debtor Days</c:v>
                </c:pt>
                <c:pt idx="31">
                  <c:v>Inventory Days</c:v>
                </c:pt>
                <c:pt idx="32">
                  <c:v>Cash Conversion cycle</c:v>
                </c:pt>
                <c:pt idx="33">
                  <c:v>Fixed Asset Turnover</c:v>
                </c:pt>
                <c:pt idx="34">
                  <c:v>Interest Coverage Ratio</c:v>
                </c:pt>
                <c:pt idx="35">
                  <c:v>Working Capital Days</c:v>
                </c:pt>
              </c:strCache>
            </c:strRef>
          </c:cat>
          <c:val>
            <c:numRef>
              <c:f>Sheet1!$W$58:$W$76</c:f>
              <c:numCache>
                <c:formatCode>0.00</c:formatCode>
                <c:ptCount val="18"/>
                <c:pt idx="0">
                  <c:v>370.9</c:v>
                </c:pt>
                <c:pt idx="1">
                  <c:v>26.49</c:v>
                </c:pt>
                <c:pt idx="2" formatCode="_(* #,##0.00_);_(* \(#,##0.00\);_(* &quot;-&quot;??_);_(@_)">
                  <c:v>98.056415700330433</c:v>
                </c:pt>
                <c:pt idx="3">
                  <c:v>11</c:v>
                </c:pt>
                <c:pt idx="4">
                  <c:v>14.00151000377501</c:v>
                </c:pt>
                <c:pt idx="5" formatCode="_(* #,##0.00_);_(* \(#,##0.00\);_(* &quot;-&quot;??_);_(@_)">
                  <c:v>3.7825163947813984</c:v>
                </c:pt>
                <c:pt idx="6">
                  <c:v>10.079129420737349</c:v>
                </c:pt>
                <c:pt idx="7" formatCode="0.00%">
                  <c:v>0.26970528227105411</c:v>
                </c:pt>
                <c:pt idx="8" formatCode="0.00%">
                  <c:v>0.35451596081203035</c:v>
                </c:pt>
                <c:pt idx="9">
                  <c:v>0</c:v>
                </c:pt>
                <c:pt idx="10">
                  <c:v>-0.49464977389897086</c:v>
                </c:pt>
                <c:pt idx="11" formatCode="0.00%">
                  <c:v>2.9657589646805069E-2</c:v>
                </c:pt>
                <c:pt idx="12" formatCode="0">
                  <c:v>26.718984844676058</c:v>
                </c:pt>
                <c:pt idx="13" formatCode="0">
                  <c:v>37.355517886494695</c:v>
                </c:pt>
                <c:pt idx="14" formatCode="0">
                  <c:v>12.517972728290786</c:v>
                </c:pt>
                <c:pt idx="15">
                  <c:v>12.998384545526511</c:v>
                </c:pt>
                <c:pt idx="16" formatCode="0.00%">
                  <c:v>0</c:v>
                </c:pt>
                <c:pt idx="17">
                  <c:v>76.848361431892357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616-42FA-A946-5FA7B2438687}"/>
            </c:ext>
          </c:extLst>
        </c:ser>
        <c:ser>
          <c:idx val="8"/>
          <c:order val="8"/>
          <c:tx>
            <c:strRef>
              <c:f>Sheet1!$X$1:$X$57</c:f>
              <c:strCache>
                <c:ptCount val="57"/>
                <c:pt idx="0">
                  <c:v>Supreme Petrochem Ltd</c:v>
                </c:pt>
                <c:pt idx="1">
                  <c:v>BALANCE SHEET</c:v>
                </c:pt>
                <c:pt idx="2">
                  <c:v>FY24</c:v>
                </c:pt>
                <c:pt idx="3">
                  <c:v> 376.08 </c:v>
                </c:pt>
                <c:pt idx="4">
                  <c:v> 19,815.04 </c:v>
                </c:pt>
                <c:pt idx="5">
                  <c:v> 20,191.13 </c:v>
                </c:pt>
                <c:pt idx="6">
                  <c:v>Minority Int</c:v>
                </c:pt>
                <c:pt idx="7">
                  <c:v>Long Term Debt</c:v>
                </c:pt>
                <c:pt idx="8">
                  <c:v>Short Term Debt</c:v>
                </c:pt>
                <c:pt idx="9">
                  <c:v> -   </c:v>
                </c:pt>
                <c:pt idx="10">
                  <c:v> 21,661.09 </c:v>
                </c:pt>
                <c:pt idx="11">
                  <c:v> 21,661.09 </c:v>
                </c:pt>
                <c:pt idx="12">
                  <c:v> 1,727.17 </c:v>
                </c:pt>
                <c:pt idx="13">
                  <c:v> 4,843.88 </c:v>
                </c:pt>
                <c:pt idx="14">
                  <c:v> 10,621.07 </c:v>
                </c:pt>
                <c:pt idx="15">
                  <c:v> 6,574.66 </c:v>
                </c:pt>
                <c:pt idx="16">
                  <c:v> 2.65 </c:v>
                </c:pt>
                <c:pt idx="17">
                  <c:v>Goodwill on Consolidation</c:v>
                </c:pt>
                <c:pt idx="18">
                  <c:v>Investment Property</c:v>
                </c:pt>
                <c:pt idx="19">
                  <c:v>lntangible Assets Under Devetopment</c:v>
                </c:pt>
                <c:pt idx="20">
                  <c:v> 2,326.15 </c:v>
                </c:pt>
                <c:pt idx="21">
                  <c:v> 1,110.17 </c:v>
                </c:pt>
                <c:pt idx="22">
                  <c:v>Financial assets</c:v>
                </c:pt>
                <c:pt idx="23">
                  <c:v>(i) Investment</c:v>
                </c:pt>
                <c:pt idx="24">
                  <c:v> 12.65 </c:v>
                </c:pt>
                <c:pt idx="25">
                  <c:v> 63.75 </c:v>
                </c:pt>
                <c:pt idx="26">
                  <c:v>Non-Current Tax Assets (Net)</c:v>
                </c:pt>
                <c:pt idx="27">
                  <c:v> 531.05 </c:v>
                </c:pt>
                <c:pt idx="28">
                  <c:v> 20,027.22 </c:v>
                </c:pt>
                <c:pt idx="29">
                  <c:v> 4,806.03 </c:v>
                </c:pt>
                <c:pt idx="30">
                  <c:v>Financial assets</c:v>
                </c:pt>
                <c:pt idx="31">
                  <c:v> 5,717.96 </c:v>
                </c:pt>
                <c:pt idx="32">
                  <c:v> 3,949.71 </c:v>
                </c:pt>
                <c:pt idx="33">
                  <c:v> 2,159.15 </c:v>
                </c:pt>
                <c:pt idx="34">
                  <c:v> 3,044.55 </c:v>
                </c:pt>
                <c:pt idx="35">
                  <c:v> 8.03 </c:v>
                </c:pt>
                <c:pt idx="36">
                  <c:v> 74.01 </c:v>
                </c:pt>
                <c:pt idx="37">
                  <c:v> 47.63 </c:v>
                </c:pt>
                <c:pt idx="38">
                  <c:v> 220.16 </c:v>
                </c:pt>
                <c:pt idx="39">
                  <c:v> 8,987.21 </c:v>
                </c:pt>
                <c:pt idx="40">
                  <c:v>Financial liabilities</c:v>
                </c:pt>
                <c:pt idx="41">
                  <c:v> 8,089.12 </c:v>
                </c:pt>
                <c:pt idx="42">
                  <c:v> 454.98 </c:v>
                </c:pt>
                <c:pt idx="43">
                  <c:v> 158.88 </c:v>
                </c:pt>
                <c:pt idx="44">
                  <c:v> 193.44 </c:v>
                </c:pt>
                <c:pt idx="45">
                  <c:v> 28.60 </c:v>
                </c:pt>
                <c:pt idx="46">
                  <c:v> 62.18 </c:v>
                </c:pt>
                <c:pt idx="47">
                  <c:v> 11,040.01 </c:v>
                </c:pt>
                <c:pt idx="48">
                  <c:v> 72.70 </c:v>
                </c:pt>
                <c:pt idx="49">
                  <c:v> 41.30 </c:v>
                </c:pt>
                <c:pt idx="50">
                  <c:v> 982.56 </c:v>
                </c:pt>
                <c:pt idx="51">
                  <c:v> 373.40 </c:v>
                </c:pt>
                <c:pt idx="52">
                  <c:v> 30,648.29 </c:v>
                </c:pt>
                <c:pt idx="53">
                  <c:v> 30,648.29 </c:v>
                </c:pt>
                <c:pt idx="54">
                  <c:v> 1,47,517.2 </c:v>
                </c:pt>
                <c:pt idx="55">
                  <c:v>KEY RATIOS</c:v>
                </c:pt>
                <c:pt idx="56">
                  <c:v>FY24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Sheet1!$B$58:$O$76</c:f>
              <c:strCache>
                <c:ptCount val="36"/>
                <c:pt idx="13">
                  <c:v>CMP(INR)</c:v>
                </c:pt>
                <c:pt idx="14">
                  <c:v>EPS (INR)</c:v>
                </c:pt>
                <c:pt idx="15">
                  <c:v>BVPS (INR)</c:v>
                </c:pt>
                <c:pt idx="16">
                  <c:v>DPS (INR)</c:v>
                </c:pt>
                <c:pt idx="17">
                  <c:v>P/E (x)</c:v>
                </c:pt>
                <c:pt idx="18">
                  <c:v>P/BV (x)</c:v>
                </c:pt>
                <c:pt idx="19">
                  <c:v>EV/EBIDTA (x)</c:v>
                </c:pt>
                <c:pt idx="20">
                  <c:v>ROE (%)</c:v>
                </c:pt>
                <c:pt idx="21">
                  <c:v>ROCE (%)</c:v>
                </c:pt>
                <c:pt idx="22">
                  <c:v>Gross D/E (x)</c:v>
                </c:pt>
                <c:pt idx="23">
                  <c:v>Net D/E (x)</c:v>
                </c:pt>
                <c:pt idx="24">
                  <c:v>Dividend Yield (%)</c:v>
                </c:pt>
                <c:pt idx="25">
                  <c:v>Debtor Days</c:v>
                </c:pt>
                <c:pt idx="31">
                  <c:v>Inventory Days</c:v>
                </c:pt>
                <c:pt idx="32">
                  <c:v>Cash Conversion cycle</c:v>
                </c:pt>
                <c:pt idx="33">
                  <c:v>Fixed Asset Turnover</c:v>
                </c:pt>
                <c:pt idx="34">
                  <c:v>Interest Coverage Ratio</c:v>
                </c:pt>
                <c:pt idx="35">
                  <c:v>Working Capital Days</c:v>
                </c:pt>
              </c:strCache>
            </c:strRef>
          </c:cat>
          <c:val>
            <c:numRef>
              <c:f>Sheet1!$X$58:$X$76</c:f>
              <c:numCache>
                <c:formatCode>0.00</c:formatCode>
                <c:ptCount val="18"/>
                <c:pt idx="0">
                  <c:v>622.95000000000005</c:v>
                </c:pt>
                <c:pt idx="1">
                  <c:v>18.43</c:v>
                </c:pt>
                <c:pt idx="2" formatCode="_(* #,##0.00_);_(* \(#,##0.00\);_(* &quot;-&quot;??_);_(@_)">
                  <c:v>107.37599394499108</c:v>
                </c:pt>
                <c:pt idx="3">
                  <c:v>9</c:v>
                </c:pt>
                <c:pt idx="4">
                  <c:v>33.800868149755836</c:v>
                </c:pt>
                <c:pt idx="5" formatCode="_(* #,##0.00_);_(* \(#,##0.00\);_(* &quot;-&quot;??_);_(@_)">
                  <c:v>5.8015760982770361</c:v>
                </c:pt>
                <c:pt idx="6">
                  <c:v>23.980444450302517</c:v>
                </c:pt>
                <c:pt idx="7" formatCode="0.00%">
                  <c:v>0.17160429784847062</c:v>
                </c:pt>
                <c:pt idx="8" formatCode="0.00%">
                  <c:v>0.21948940050884796</c:v>
                </c:pt>
                <c:pt idx="9">
                  <c:v>0</c:v>
                </c:pt>
                <c:pt idx="10">
                  <c:v>-0.54091336956641256</c:v>
                </c:pt>
                <c:pt idx="11" formatCode="0.00%">
                  <c:v>1.4447387430772934E-2</c:v>
                </c:pt>
                <c:pt idx="12" formatCode="0">
                  <c:v>26.307133457145248</c:v>
                </c:pt>
                <c:pt idx="13" formatCode="0">
                  <c:v>42.990166145774332</c:v>
                </c:pt>
                <c:pt idx="14" formatCode="0">
                  <c:v>8.63878375217854</c:v>
                </c:pt>
                <c:pt idx="15">
                  <c:v>8.9879291120840783</c:v>
                </c:pt>
                <c:pt idx="16" formatCode="0.00%">
                  <c:v>0</c:v>
                </c:pt>
                <c:pt idx="17">
                  <c:v>79.563078697975442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616-42FA-A946-5FA7B2438687}"/>
            </c:ext>
          </c:extLst>
        </c:ser>
        <c:ser>
          <c:idx val="9"/>
          <c:order val="9"/>
          <c:tx>
            <c:strRef>
              <c:f>Sheet1!$Y$1:$Y$57</c:f>
              <c:strCache>
                <c:ptCount val="57"/>
                <c:pt idx="0">
                  <c:v>Supreme Petrochem Ltd</c:v>
                </c:pt>
                <c:pt idx="1">
                  <c:v>BALANCE SHEET</c:v>
                </c:pt>
                <c:pt idx="2">
                  <c:v>FY25</c:v>
                </c:pt>
                <c:pt idx="3">
                  <c:v> 376.08 </c:v>
                </c:pt>
                <c:pt idx="4">
                  <c:v> 21,936.80 </c:v>
                </c:pt>
                <c:pt idx="5">
                  <c:v> 22,312.88 </c:v>
                </c:pt>
                <c:pt idx="6">
                  <c:v>Minority Int</c:v>
                </c:pt>
                <c:pt idx="7">
                  <c:v>Long Term Debt</c:v>
                </c:pt>
                <c:pt idx="8">
                  <c:v>Short Term Debt</c:v>
                </c:pt>
                <c:pt idx="9">
                  <c:v> -   </c:v>
                </c:pt>
                <c:pt idx="10">
                  <c:v> 23,870.66 </c:v>
                </c:pt>
                <c:pt idx="11">
                  <c:v> 23,870.66 </c:v>
                </c:pt>
                <c:pt idx="12">
                  <c:v> 1,727.17 </c:v>
                </c:pt>
                <c:pt idx="13">
                  <c:v> 4,843.88 </c:v>
                </c:pt>
                <c:pt idx="14">
                  <c:v> 14,267.75 </c:v>
                </c:pt>
                <c:pt idx="15">
                  <c:v> 6,906.69 </c:v>
                </c:pt>
                <c:pt idx="16">
                  <c:v> 8.84 </c:v>
                </c:pt>
                <c:pt idx="17">
                  <c:v>Goodwill on Consolidation</c:v>
                </c:pt>
                <c:pt idx="18">
                  <c:v>Investment Property</c:v>
                </c:pt>
                <c:pt idx="19">
                  <c:v> 6.99 </c:v>
                </c:pt>
                <c:pt idx="20">
                  <c:v> 5,808.43 </c:v>
                </c:pt>
                <c:pt idx="21">
                  <c:v> 1,213.75 </c:v>
                </c:pt>
                <c:pt idx="22">
                  <c:v>Financial assets</c:v>
                </c:pt>
                <c:pt idx="23">
                  <c:v> 53.60 </c:v>
                </c:pt>
                <c:pt idx="24">
                  <c:v> 15.34 </c:v>
                </c:pt>
                <c:pt idx="25">
                  <c:v> 50.28 </c:v>
                </c:pt>
                <c:pt idx="26">
                  <c:v>Non-Current Tax Assets (Net)</c:v>
                </c:pt>
                <c:pt idx="27">
                  <c:v> 203.83 </c:v>
                </c:pt>
                <c:pt idx="28">
                  <c:v> 20,213.25 </c:v>
                </c:pt>
                <c:pt idx="29">
                  <c:v> 7,008.03 </c:v>
                </c:pt>
                <c:pt idx="30">
                  <c:v>Financial assets</c:v>
                </c:pt>
                <c:pt idx="31">
                  <c:v> 4,300.00 </c:v>
                </c:pt>
                <c:pt idx="32">
                  <c:v> 3,932.44 </c:v>
                </c:pt>
                <c:pt idx="33">
                  <c:v> 3,054.08 </c:v>
                </c:pt>
                <c:pt idx="34">
                  <c:v> 1,563.95 </c:v>
                </c:pt>
                <c:pt idx="35">
                  <c:v> 7.29 </c:v>
                </c:pt>
                <c:pt idx="36">
                  <c:v> 104.15 </c:v>
                </c:pt>
                <c:pt idx="37">
                  <c:v> 28.50 </c:v>
                </c:pt>
                <c:pt idx="38">
                  <c:v> 214.81 </c:v>
                </c:pt>
                <c:pt idx="39">
                  <c:v> 10,610.34 </c:v>
                </c:pt>
                <c:pt idx="40">
                  <c:v>Financial liabilities</c:v>
                </c:pt>
                <c:pt idx="41">
                  <c:v> 9,277.45 </c:v>
                </c:pt>
                <c:pt idx="42">
                  <c:v> 755.73 </c:v>
                </c:pt>
                <c:pt idx="43">
                  <c:v> 241.80 </c:v>
                </c:pt>
                <c:pt idx="44">
                  <c:v> 176.31 </c:v>
                </c:pt>
                <c:pt idx="45">
                  <c:v> 39.85 </c:v>
                </c:pt>
                <c:pt idx="46">
                  <c:v> 119.21 </c:v>
                </c:pt>
                <c:pt idx="47">
                  <c:v> 9,602.91 </c:v>
                </c:pt>
                <c:pt idx="48">
                  <c:v> 63.94 </c:v>
                </c:pt>
                <c:pt idx="49">
                  <c:v> 41.80 </c:v>
                </c:pt>
                <c:pt idx="50">
                  <c:v> 1,053.49 </c:v>
                </c:pt>
                <c:pt idx="51">
                  <c:v> 398.55 </c:v>
                </c:pt>
                <c:pt idx="52">
                  <c:v> 34,481.00 </c:v>
                </c:pt>
                <c:pt idx="53">
                  <c:v> 34,481.00 </c:v>
                </c:pt>
                <c:pt idx="54">
                  <c:v> 1,47,517.2 </c:v>
                </c:pt>
                <c:pt idx="55">
                  <c:v>KEY RATIOS</c:v>
                </c:pt>
                <c:pt idx="56">
                  <c:v>FY25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Sheet1!$B$58:$O$76</c:f>
              <c:strCache>
                <c:ptCount val="36"/>
                <c:pt idx="13">
                  <c:v>CMP(INR)</c:v>
                </c:pt>
                <c:pt idx="14">
                  <c:v>EPS (INR)</c:v>
                </c:pt>
                <c:pt idx="15">
                  <c:v>BVPS (INR)</c:v>
                </c:pt>
                <c:pt idx="16">
                  <c:v>DPS (INR)</c:v>
                </c:pt>
                <c:pt idx="17">
                  <c:v>P/E (x)</c:v>
                </c:pt>
                <c:pt idx="18">
                  <c:v>P/BV (x)</c:v>
                </c:pt>
                <c:pt idx="19">
                  <c:v>EV/EBIDTA (x)</c:v>
                </c:pt>
                <c:pt idx="20">
                  <c:v>ROE (%)</c:v>
                </c:pt>
                <c:pt idx="21">
                  <c:v>ROCE (%)</c:v>
                </c:pt>
                <c:pt idx="22">
                  <c:v>Gross D/E (x)</c:v>
                </c:pt>
                <c:pt idx="23">
                  <c:v>Net D/E (x)</c:v>
                </c:pt>
                <c:pt idx="24">
                  <c:v>Dividend Yield (%)</c:v>
                </c:pt>
                <c:pt idx="25">
                  <c:v>Debtor Days</c:v>
                </c:pt>
                <c:pt idx="31">
                  <c:v>Inventory Days</c:v>
                </c:pt>
                <c:pt idx="32">
                  <c:v>Cash Conversion cycle</c:v>
                </c:pt>
                <c:pt idx="33">
                  <c:v>Fixed Asset Turnover</c:v>
                </c:pt>
                <c:pt idx="34">
                  <c:v>Interest Coverage Ratio</c:v>
                </c:pt>
                <c:pt idx="35">
                  <c:v>Working Capital Days</c:v>
                </c:pt>
              </c:strCache>
            </c:strRef>
          </c:cat>
          <c:val>
            <c:numRef>
              <c:f>Sheet1!$Y$58:$Y$76</c:f>
              <c:numCache>
                <c:formatCode>0.00</c:formatCode>
                <c:ptCount val="18"/>
                <c:pt idx="0">
                  <c:v>627.5</c:v>
                </c:pt>
                <c:pt idx="1">
                  <c:v>20.77</c:v>
                </c:pt>
                <c:pt idx="2" formatCode="_(* #,##0.00_);_(* \(#,##0.00\);_(* &quot;-&quot;??_);_(@_)">
                  <c:v>118.65945947141773</c:v>
                </c:pt>
                <c:pt idx="3">
                  <c:v>10</c:v>
                </c:pt>
                <c:pt idx="4">
                  <c:v>30.211844005777564</c:v>
                </c:pt>
                <c:pt idx="5" formatCode="_(* #,##0.00_);_(* \(#,##0.00\);_(* &quot;-&quot;??_);_(@_)">
                  <c:v>5.2882425286215797</c:v>
                </c:pt>
                <c:pt idx="6">
                  <c:v>21.286945557136569</c:v>
                </c:pt>
                <c:pt idx="7" formatCode="0.00%">
                  <c:v>0.17502210830298839</c:v>
                </c:pt>
                <c:pt idx="8" formatCode="0.00%">
                  <c:v>0.22531477236304737</c:v>
                </c:pt>
                <c:pt idx="9">
                  <c:v>0</c:v>
                </c:pt>
                <c:pt idx="10">
                  <c:v>-0.39968078532564411</c:v>
                </c:pt>
                <c:pt idx="11" formatCode="0.00%">
                  <c:v>1.5936254980079681E-2</c:v>
                </c:pt>
                <c:pt idx="12" formatCode="0">
                  <c:v>23.881841571151003</c:v>
                </c:pt>
                <c:pt idx="13" formatCode="0">
                  <c:v>39.267204787258805</c:v>
                </c:pt>
                <c:pt idx="14" formatCode="0">
                  <c:v>5.4266192403766667</c:v>
                </c:pt>
                <c:pt idx="15">
                  <c:v>8.9358681846459955</c:v>
                </c:pt>
                <c:pt idx="16" formatCode="0">
                  <c:v>0</c:v>
                </c:pt>
                <c:pt idx="17">
                  <c:v>62.54522294244596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616-42FA-A946-5FA7B2438687}"/>
            </c:ext>
          </c:extLst>
        </c:ser>
        <c:ser>
          <c:idx val="10"/>
          <c:order val="10"/>
          <c:tx>
            <c:strRef>
              <c:f>Sheet1!$Z$1:$Z$57</c:f>
              <c:strCache>
                <c:ptCount val="57"/>
                <c:pt idx="0">
                  <c:v>Supreme Petrochem Ltd</c:v>
                </c:pt>
                <c:pt idx="1">
                  <c:v>BALANCE SHEET</c:v>
                </c:pt>
                <c:pt idx="2">
                  <c:v>FY26</c:v>
                </c:pt>
                <c:pt idx="3">
                  <c:v> 376.08 </c:v>
                </c:pt>
                <c:pt idx="4">
                  <c:v> 23,326.08 </c:v>
                </c:pt>
                <c:pt idx="5">
                  <c:v> 23,702.17 </c:v>
                </c:pt>
                <c:pt idx="6">
                  <c:v>Minority Int</c:v>
                </c:pt>
                <c:pt idx="7">
                  <c:v>Long Term Debt</c:v>
                </c:pt>
                <c:pt idx="8">
                  <c:v>Short Term Debt</c:v>
                </c:pt>
                <c:pt idx="9">
                  <c:v> -   </c:v>
                </c:pt>
                <c:pt idx="10">
                  <c:v> 25,405.80 </c:v>
                </c:pt>
                <c:pt idx="11">
                  <c:v> 25,405.80 </c:v>
                </c:pt>
                <c:pt idx="12">
                  <c:v> 1,727.17 </c:v>
                </c:pt>
                <c:pt idx="13">
                  <c:v> 4,843.88 </c:v>
                </c:pt>
                <c:pt idx="14">
                  <c:v> 16,004.85 </c:v>
                </c:pt>
                <c:pt idx="15">
                  <c:v> 13,581.32 </c:v>
                </c:pt>
                <c:pt idx="16">
                  <c:v> 15.67 </c:v>
                </c:pt>
                <c:pt idx="17">
                  <c:v>Goodwill on Consolidation</c:v>
                </c:pt>
                <c:pt idx="18">
                  <c:v>Investment Property</c:v>
                </c:pt>
                <c:pt idx="19">
                  <c:v> 6.99 </c:v>
                </c:pt>
                <c:pt idx="20">
                  <c:v> 741.03 </c:v>
                </c:pt>
                <c:pt idx="21">
                  <c:v> 1,130.87 </c:v>
                </c:pt>
                <c:pt idx="22">
                  <c:v>Financial assets</c:v>
                </c:pt>
                <c:pt idx="23">
                  <c:v> 387.25 </c:v>
                </c:pt>
                <c:pt idx="24">
                  <c:v> 18.62 </c:v>
                </c:pt>
                <c:pt idx="25">
                  <c:v> 75.68 </c:v>
                </c:pt>
                <c:pt idx="26">
                  <c:v>Non-Current Tax Assets (Net)</c:v>
                </c:pt>
                <c:pt idx="27">
                  <c:v> 54.42 </c:v>
                </c:pt>
                <c:pt idx="28">
                  <c:v> 18,662.23 </c:v>
                </c:pt>
                <c:pt idx="29">
                  <c:v> 6,143.08 </c:v>
                </c:pt>
                <c:pt idx="30">
                  <c:v>Financial assets</c:v>
                </c:pt>
                <c:pt idx="31">
                  <c:v> 2,867.93 </c:v>
                </c:pt>
                <c:pt idx="32">
                  <c:v> 5,037.99 </c:v>
                </c:pt>
                <c:pt idx="33">
                  <c:v> 2,964.81 </c:v>
                </c:pt>
                <c:pt idx="34">
                  <c:v> 1,362.99 </c:v>
                </c:pt>
                <c:pt idx="35">
                  <c:v> 6.97 </c:v>
                </c:pt>
                <c:pt idx="36">
                  <c:v> 123.87 </c:v>
                </c:pt>
                <c:pt idx="37">
                  <c:v> 8.07 </c:v>
                </c:pt>
                <c:pt idx="38">
                  <c:v> 146.53 </c:v>
                </c:pt>
                <c:pt idx="39">
                  <c:v> 9,261.28 </c:v>
                </c:pt>
                <c:pt idx="40">
                  <c:v>Financial liabilities</c:v>
                </c:pt>
                <c:pt idx="41">
                  <c:v> 7,863.06 </c:v>
                </c:pt>
                <c:pt idx="42">
                  <c:v> 577.96 </c:v>
                </c:pt>
                <c:pt idx="43">
                  <c:v> 310.84 </c:v>
                </c:pt>
                <c:pt idx="44">
                  <c:v> 386.94 </c:v>
                </c:pt>
                <c:pt idx="45">
                  <c:v> 74.99 </c:v>
                </c:pt>
                <c:pt idx="46">
                  <c:v> 47.49 </c:v>
                </c:pt>
                <c:pt idx="47">
                  <c:v> 9,400.95 </c:v>
                </c:pt>
                <c:pt idx="48">
                  <c:v> 142.66 </c:v>
                </c:pt>
                <c:pt idx="49">
                  <c:v> 39.03 </c:v>
                </c:pt>
                <c:pt idx="50">
                  <c:v> 949.94 </c:v>
                </c:pt>
                <c:pt idx="51">
                  <c:v> 572.00 </c:v>
                </c:pt>
                <c:pt idx="52">
                  <c:v> 34,667.08 </c:v>
                </c:pt>
                <c:pt idx="53">
                  <c:v> 34,667.08 </c:v>
                </c:pt>
                <c:pt idx="54">
                  <c:v> 1,47,517.2 </c:v>
                </c:pt>
                <c:pt idx="55">
                  <c:v>KEY RATIOS</c:v>
                </c:pt>
                <c:pt idx="56">
                  <c:v>FY26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Sheet1!$B$58:$O$76</c:f>
              <c:strCache>
                <c:ptCount val="36"/>
                <c:pt idx="13">
                  <c:v>CMP(INR)</c:v>
                </c:pt>
                <c:pt idx="14">
                  <c:v>EPS (INR)</c:v>
                </c:pt>
                <c:pt idx="15">
                  <c:v>BVPS (INR)</c:v>
                </c:pt>
                <c:pt idx="16">
                  <c:v>DPS (INR)</c:v>
                </c:pt>
                <c:pt idx="17">
                  <c:v>P/E (x)</c:v>
                </c:pt>
                <c:pt idx="18">
                  <c:v>P/BV (x)</c:v>
                </c:pt>
                <c:pt idx="19">
                  <c:v>EV/EBIDTA (x)</c:v>
                </c:pt>
                <c:pt idx="20">
                  <c:v>ROE (%)</c:v>
                </c:pt>
                <c:pt idx="21">
                  <c:v>ROCE (%)</c:v>
                </c:pt>
                <c:pt idx="22">
                  <c:v>Gross D/E (x)</c:v>
                </c:pt>
                <c:pt idx="23">
                  <c:v>Net D/E (x)</c:v>
                </c:pt>
                <c:pt idx="24">
                  <c:v>Dividend Yield (%)</c:v>
                </c:pt>
                <c:pt idx="25">
                  <c:v>Debtor Days</c:v>
                </c:pt>
                <c:pt idx="31">
                  <c:v>Inventory Days</c:v>
                </c:pt>
                <c:pt idx="32">
                  <c:v>Cash Conversion cycle</c:v>
                </c:pt>
                <c:pt idx="33">
                  <c:v>Fixed Asset Turnover</c:v>
                </c:pt>
                <c:pt idx="34">
                  <c:v>Interest Coverage Ratio</c:v>
                </c:pt>
                <c:pt idx="35">
                  <c:v>Working Capital Days</c:v>
                </c:pt>
              </c:strCache>
            </c:strRef>
          </c:cat>
          <c:val>
            <c:numRef>
              <c:f>Sheet1!$Z$58:$Z$76</c:f>
              <c:numCache>
                <c:formatCode>0.00</c:formatCode>
                <c:ptCount val="18"/>
                <c:pt idx="0">
                  <c:v>739.4</c:v>
                </c:pt>
                <c:pt idx="1">
                  <c:v>17.41</c:v>
                </c:pt>
                <c:pt idx="2" formatCode="_(* #,##0.00_);_(* \(#,##0.00\);_(* &quot;-&quot;??_);_(@_)">
                  <c:v>126.04762733505697</c:v>
                </c:pt>
                <c:pt idx="3">
                  <c:v>11</c:v>
                </c:pt>
                <c:pt idx="4">
                  <c:v>42.469844916714528</c:v>
                </c:pt>
                <c:pt idx="5" formatCode="_(* #,##0.00_);_(* \(#,##0.00\);_(* &quot;-&quot;??_);_(@_)">
                  <c:v>5.866036637362031</c:v>
                </c:pt>
                <c:pt idx="6">
                  <c:v>26.169125179557039</c:v>
                </c:pt>
                <c:pt idx="7" formatCode="0.00%">
                  <c:v>0.1380918156632526</c:v>
                </c:pt>
                <c:pt idx="8" formatCode="0.00%">
                  <c:v>0.17986767509260376</c:v>
                </c:pt>
                <c:pt idx="9">
                  <c:v>0</c:v>
                </c:pt>
                <c:pt idx="10">
                  <c:v>-0.30358956660710112</c:v>
                </c:pt>
                <c:pt idx="11" formatCode="0.00%">
                  <c:v>1.4876927238301326E-2</c:v>
                </c:pt>
                <c:pt idx="12" formatCode="0">
                  <c:v>30.666542509701923</c:v>
                </c:pt>
                <c:pt idx="13" formatCode="0">
                  <c:v>49.756600823333116</c:v>
                </c:pt>
                <c:pt idx="14" formatCode="0">
                  <c:v>15.57286827398157</c:v>
                </c:pt>
                <c:pt idx="15">
                  <c:v>5.2112474385624727</c:v>
                </c:pt>
                <c:pt idx="16" formatCode="0">
                  <c:v>0</c:v>
                </c:pt>
                <c:pt idx="17">
                  <c:v>64.967069650427533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616-42FA-A946-5FA7B2438687}"/>
            </c:ext>
          </c:extLst>
        </c:ser>
        <c:ser>
          <c:idx val="11"/>
          <c:order val="11"/>
          <c:tx>
            <c:strRef>
              <c:f>Sheet1!$AA$1:$AA$57</c:f>
              <c:strCache>
                <c:ptCount val="57"/>
                <c:pt idx="0">
                  <c:v>Supreme Petrochem Ltd</c:v>
                </c:pt>
                <c:pt idx="1">
                  <c:v>BALANCE SHEET</c:v>
                </c:pt>
                <c:pt idx="2">
                  <c:v>H1-FY27</c:v>
                </c:pt>
                <c:pt idx="3">
                  <c:v> 376.08 </c:v>
                </c:pt>
                <c:pt idx="4">
                  <c:v> 25,197.90 </c:v>
                </c:pt>
                <c:pt idx="5">
                  <c:v> 25,573.98 </c:v>
                </c:pt>
                <c:pt idx="6">
                  <c:v> 23.24 </c:v>
                </c:pt>
                <c:pt idx="7">
                  <c:v> 17.29 </c:v>
                </c:pt>
                <c:pt idx="8">
                  <c:v> 34.26 </c:v>
                </c:pt>
                <c:pt idx="9">
                  <c:v> 51.55 </c:v>
                </c:pt>
                <c:pt idx="10">
                  <c:v> 27,258.25 </c:v>
                </c:pt>
                <c:pt idx="11">
                  <c:v> 25,597.22 </c:v>
                </c:pt>
                <c:pt idx="12">
                  <c:v> 1,727.17 </c:v>
                </c:pt>
                <c:pt idx="13">
                  <c:v> 4,843.88 </c:v>
                </c:pt>
                <c:pt idx="14">
                  <c:v> 16,033.79 </c:v>
                </c:pt>
                <c:pt idx="15">
                  <c:v> 13,998.79 </c:v>
                </c:pt>
                <c:pt idx="16">
                  <c:v> 17.69 </c:v>
                </c:pt>
                <c:pt idx="17">
                  <c:v> 159.95 </c:v>
                </c:pt>
                <c:pt idx="18">
                  <c:v> 12.89 </c:v>
                </c:pt>
                <c:pt idx="19">
                  <c:v> -   </c:v>
                </c:pt>
                <c:pt idx="20">
                  <c:v> 567.75 </c:v>
                </c:pt>
                <c:pt idx="21">
                  <c:v> 978.05 </c:v>
                </c:pt>
                <c:pt idx="22">
                  <c:v>Financial assets</c:v>
                </c:pt>
                <c:pt idx="23">
                  <c:v> 53.60 </c:v>
                </c:pt>
                <c:pt idx="24">
                  <c:v> 18.93 </c:v>
                </c:pt>
                <c:pt idx="25">
                  <c:v> 66.40 </c:v>
                </c:pt>
                <c:pt idx="26">
                  <c:v>Non-Current Tax Assets (Net)</c:v>
                </c:pt>
                <c:pt idx="27">
                  <c:v> 159.74 </c:v>
                </c:pt>
                <c:pt idx="28">
                  <c:v> 24,765.01 </c:v>
                </c:pt>
                <c:pt idx="29">
                  <c:v> 9,283.79 </c:v>
                </c:pt>
                <c:pt idx="30">
                  <c:v>Financial assets</c:v>
                </c:pt>
                <c:pt idx="31">
                  <c:v> 4,627.72 </c:v>
                </c:pt>
                <c:pt idx="32">
                  <c:v> 6,061.28 </c:v>
                </c:pt>
                <c:pt idx="33">
                  <c:v> 1,742.66 </c:v>
                </c:pt>
                <c:pt idx="34">
                  <c:v> 2,625.70 </c:v>
                </c:pt>
                <c:pt idx="35">
                  <c:v> 7.19 </c:v>
                </c:pt>
                <c:pt idx="36">
                  <c:v> 96.65 </c:v>
                </c:pt>
                <c:pt idx="37">
                  <c:v> 11.08 </c:v>
                </c:pt>
                <c:pt idx="38">
                  <c:v> 308.94 </c:v>
                </c:pt>
                <c:pt idx="39">
                  <c:v> 13,540.55 </c:v>
                </c:pt>
                <c:pt idx="40">
                  <c:v>Financial liabilities</c:v>
                </c:pt>
                <c:pt idx="41">
                  <c:v> 11,624.35 </c:v>
                </c:pt>
                <c:pt idx="42">
                  <c:v> 553.77 </c:v>
                </c:pt>
                <c:pt idx="43">
                  <c:v> 311.61 </c:v>
                </c:pt>
                <c:pt idx="44">
                  <c:v> 441.52 </c:v>
                </c:pt>
                <c:pt idx="45">
                  <c:v> 90.06 </c:v>
                </c:pt>
                <c:pt idx="46">
                  <c:v> 484.99 </c:v>
                </c:pt>
                <c:pt idx="47">
                  <c:v> 11,224.46 </c:v>
                </c:pt>
                <c:pt idx="48">
                  <c:v> 164.51 </c:v>
                </c:pt>
                <c:pt idx="49">
                  <c:v> 36.77 </c:v>
                </c:pt>
                <c:pt idx="50">
                  <c:v> 798.06 </c:v>
                </c:pt>
                <c:pt idx="51">
                  <c:v> 644.41 </c:v>
                </c:pt>
                <c:pt idx="52">
                  <c:v> 40,798.80 </c:v>
                </c:pt>
                <c:pt idx="53">
                  <c:v> 40,798.80 </c:v>
                </c:pt>
                <c:pt idx="54">
                  <c:v> 1,47,517.2 </c:v>
                </c:pt>
                <c:pt idx="55">
                  <c:v>KEY RATIOS</c:v>
                </c:pt>
                <c:pt idx="56">
                  <c:v>H1-FY27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Sheet1!$B$58:$O$76</c:f>
              <c:strCache>
                <c:ptCount val="36"/>
                <c:pt idx="13">
                  <c:v>CMP(INR)</c:v>
                </c:pt>
                <c:pt idx="14">
                  <c:v>EPS (INR)</c:v>
                </c:pt>
                <c:pt idx="15">
                  <c:v>BVPS (INR)</c:v>
                </c:pt>
                <c:pt idx="16">
                  <c:v>DPS (INR)</c:v>
                </c:pt>
                <c:pt idx="17">
                  <c:v>P/E (x)</c:v>
                </c:pt>
                <c:pt idx="18">
                  <c:v>P/BV (x)</c:v>
                </c:pt>
                <c:pt idx="19">
                  <c:v>EV/EBIDTA (x)</c:v>
                </c:pt>
                <c:pt idx="20">
                  <c:v>ROE (%)</c:v>
                </c:pt>
                <c:pt idx="21">
                  <c:v>ROCE (%)</c:v>
                </c:pt>
                <c:pt idx="22">
                  <c:v>Gross D/E (x)</c:v>
                </c:pt>
                <c:pt idx="23">
                  <c:v>Net D/E (x)</c:v>
                </c:pt>
                <c:pt idx="24">
                  <c:v>Dividend Yield (%)</c:v>
                </c:pt>
                <c:pt idx="25">
                  <c:v>Debtor Days</c:v>
                </c:pt>
                <c:pt idx="31">
                  <c:v>Inventory Days</c:v>
                </c:pt>
                <c:pt idx="32">
                  <c:v>Cash Conversion cycle</c:v>
                </c:pt>
                <c:pt idx="33">
                  <c:v>Fixed Asset Turnover</c:v>
                </c:pt>
                <c:pt idx="34">
                  <c:v>Interest Coverage Ratio</c:v>
                </c:pt>
                <c:pt idx="35">
                  <c:v>Working Capital Days</c:v>
                </c:pt>
              </c:strCache>
            </c:strRef>
          </c:cat>
          <c:val>
            <c:numRef>
              <c:f>Sheet1!$AA$58:$AA$76</c:f>
              <c:numCache>
                <c:formatCode>0.00</c:formatCode>
                <c:ptCount val="18"/>
                <c:pt idx="0">
                  <c:v>807.45</c:v>
                </c:pt>
                <c:pt idx="1">
                  <c:v>28.229999999999997</c:v>
                </c:pt>
                <c:pt idx="2" formatCode="_(* #,##0.00_);_(* \(#,##0.00\);_(* &quot;-&quot;??_);_(@_)">
                  <c:v>136.00190643183134</c:v>
                </c:pt>
                <c:pt idx="3" formatCode="_(* #,##0.00_);_(* \(#,##0.00\);_(* &quot;-&quot;??_);_(@_)">
                  <c:v>2.5</c:v>
                </c:pt>
                <c:pt idx="4">
                  <c:v>28.60255047821467</c:v>
                </c:pt>
                <c:pt idx="5" formatCode="_(* #,##0.00_);_(* \(#,##0.00\);_(* &quot;-&quot;??_);_(@_)">
                  <c:v>5.9370491280923385</c:v>
                </c:pt>
                <c:pt idx="6" formatCode="_(* #,##0.00_);_(* \(#,##0.00\);_(* &quot;-&quot;??_);_(@_)">
                  <c:v>0</c:v>
                </c:pt>
                <c:pt idx="7" formatCode="_(* #,##0.00_);_(* \(#,##0.00\);_(* &quot;-&quot;??_);_(@_)">
                  <c:v>0</c:v>
                </c:pt>
                <c:pt idx="8" formatCode="_(* #,##0.00_);_(* \(#,##0.00\);_(* &quot;-&quot;??_);_(@_)">
                  <c:v>0</c:v>
                </c:pt>
                <c:pt idx="9">
                  <c:v>2.0157205872640633E-3</c:v>
                </c:pt>
                <c:pt idx="10">
                  <c:v>-0.34975098323565662</c:v>
                </c:pt>
                <c:pt idx="11" formatCode="0.00%">
                  <c:v>3.0961669453216916E-3</c:v>
                </c:pt>
                <c:pt idx="12" formatCode="_(* #,##0.00_);_(* \(#,##0.00\);_(* &quot;-&quot;??_);_(@_)">
                  <c:v>0</c:v>
                </c:pt>
                <c:pt idx="13" formatCode="_(* #,##0.00_);_(* \(#,##0.00\);_(* &quot;-&quot;??_);_(@_)">
                  <c:v>0</c:v>
                </c:pt>
                <c:pt idx="14" formatCode="_(* #,##0.00_);_(* \(#,##0.00\);_(* &quot;-&quot;??_);_(@_)">
                  <c:v>0</c:v>
                </c:pt>
                <c:pt idx="15" formatCode="_(* #,##0.00_);_(* \(#,##0.00\);_(* &quot;-&quot;??_);_(@_)">
                  <c:v>0</c:v>
                </c:pt>
                <c:pt idx="16" formatCode="_(* #,##0.00_);_(* \(#,##0.00\);_(* &quot;-&quot;??_);_(@_)">
                  <c:v>0</c:v>
                </c:pt>
                <c:pt idx="17" formatCode="_(* #,##0.00_);_(* \(#,##0.00\);_(* &quot;-&quot;??_);_(@_)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616-42FA-A946-5FA7B2438687}"/>
            </c:ext>
          </c:extLst>
        </c:ser>
        <c:ser>
          <c:idx val="12"/>
          <c:order val="12"/>
          <c:tx>
            <c:strRef>
              <c:f>Sheet1!$AB$1:$AB$59</c:f>
              <c:strCache>
                <c:ptCount val="59"/>
                <c:pt idx="0">
                  <c:v>Supreme Petrochem Ltd</c:v>
                </c:pt>
                <c:pt idx="1">
                  <c:v>BALANCE SHEET</c:v>
                </c:pt>
                <c:pt idx="2">
                  <c:v>H1-FY27</c:v>
                </c:pt>
                <c:pt idx="3">
                  <c:v> 376.08 </c:v>
                </c:pt>
                <c:pt idx="4">
                  <c:v> 25,197.90 </c:v>
                </c:pt>
                <c:pt idx="5">
                  <c:v> 25,573.98 </c:v>
                </c:pt>
                <c:pt idx="6">
                  <c:v> 23.24 </c:v>
                </c:pt>
                <c:pt idx="7">
                  <c:v> 17.29 </c:v>
                </c:pt>
                <c:pt idx="8">
                  <c:v> 34.26 </c:v>
                </c:pt>
                <c:pt idx="9">
                  <c:v> 51.55 </c:v>
                </c:pt>
                <c:pt idx="10">
                  <c:v> 27,258.25 </c:v>
                </c:pt>
                <c:pt idx="11">
                  <c:v> 25,597.22 </c:v>
                </c:pt>
                <c:pt idx="12">
                  <c:v> 1,727.17 </c:v>
                </c:pt>
                <c:pt idx="13">
                  <c:v> 4,843.88 </c:v>
                </c:pt>
                <c:pt idx="14">
                  <c:v> 16,033.79 </c:v>
                </c:pt>
                <c:pt idx="15">
                  <c:v> 13,998.79 </c:v>
                </c:pt>
                <c:pt idx="16">
                  <c:v> 17.69 </c:v>
                </c:pt>
                <c:pt idx="17">
                  <c:v> 159.95 </c:v>
                </c:pt>
                <c:pt idx="18">
                  <c:v> 12.89 </c:v>
                </c:pt>
                <c:pt idx="19">
                  <c:v> -   </c:v>
                </c:pt>
                <c:pt idx="20">
                  <c:v> 567.75 </c:v>
                </c:pt>
                <c:pt idx="21">
                  <c:v> 978.05 </c:v>
                </c:pt>
                <c:pt idx="22">
                  <c:v>Financial assets</c:v>
                </c:pt>
                <c:pt idx="23">
                  <c:v> 53.60 </c:v>
                </c:pt>
                <c:pt idx="24">
                  <c:v> 18.93 </c:v>
                </c:pt>
                <c:pt idx="25">
                  <c:v> 66.40 </c:v>
                </c:pt>
                <c:pt idx="26">
                  <c:v>Non-Current Tax Assets (Net)</c:v>
                </c:pt>
                <c:pt idx="27">
                  <c:v> 159.74 </c:v>
                </c:pt>
                <c:pt idx="28">
                  <c:v> 24,765.01 </c:v>
                </c:pt>
                <c:pt idx="29">
                  <c:v> 9,283.79 </c:v>
                </c:pt>
                <c:pt idx="30">
                  <c:v>Financial assets</c:v>
                </c:pt>
                <c:pt idx="31">
                  <c:v> 4,627.72 </c:v>
                </c:pt>
                <c:pt idx="32">
                  <c:v> 6,061.28 </c:v>
                </c:pt>
                <c:pt idx="33">
                  <c:v> 1,742.66 </c:v>
                </c:pt>
                <c:pt idx="34">
                  <c:v> 2,625.70 </c:v>
                </c:pt>
                <c:pt idx="35">
                  <c:v> 7.19 </c:v>
                </c:pt>
                <c:pt idx="36">
                  <c:v> 96.65 </c:v>
                </c:pt>
                <c:pt idx="37">
                  <c:v> 11.08 </c:v>
                </c:pt>
                <c:pt idx="38">
                  <c:v> 308.94 </c:v>
                </c:pt>
                <c:pt idx="39">
                  <c:v> 13,540.55 </c:v>
                </c:pt>
                <c:pt idx="40">
                  <c:v>Financial liabilities</c:v>
                </c:pt>
                <c:pt idx="41">
                  <c:v> 11,624.35 </c:v>
                </c:pt>
                <c:pt idx="42">
                  <c:v> 553.77 </c:v>
                </c:pt>
                <c:pt idx="43">
                  <c:v> 311.61 </c:v>
                </c:pt>
                <c:pt idx="44">
                  <c:v> 441.52 </c:v>
                </c:pt>
                <c:pt idx="45">
                  <c:v> 90.06 </c:v>
                </c:pt>
                <c:pt idx="46">
                  <c:v> 484.99 </c:v>
                </c:pt>
                <c:pt idx="47">
                  <c:v> 11,224.46 </c:v>
                </c:pt>
                <c:pt idx="48">
                  <c:v> 164.51 </c:v>
                </c:pt>
                <c:pt idx="49">
                  <c:v> 36.77 </c:v>
                </c:pt>
                <c:pt idx="50">
                  <c:v> 798.06 </c:v>
                </c:pt>
                <c:pt idx="51">
                  <c:v> 644.41 </c:v>
                </c:pt>
                <c:pt idx="52">
                  <c:v> 40,798.80 </c:v>
                </c:pt>
                <c:pt idx="53">
                  <c:v> 40,798.80 </c:v>
                </c:pt>
                <c:pt idx="54">
                  <c:v> 1,47,517.2 </c:v>
                </c:pt>
                <c:pt idx="55">
                  <c:v>KEY RATIOS</c:v>
                </c:pt>
                <c:pt idx="56">
                  <c:v>H1-FY27</c:v>
                </c:pt>
                <c:pt idx="57">
                  <c:v>807.45</c:v>
                </c:pt>
                <c:pt idx="58">
                  <c:v>TTM EPS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Sheet1!$B$58:$O$76</c:f>
              <c:strCache>
                <c:ptCount val="36"/>
                <c:pt idx="13">
                  <c:v>CMP(INR)</c:v>
                </c:pt>
                <c:pt idx="14">
                  <c:v>EPS (INR)</c:v>
                </c:pt>
                <c:pt idx="15">
                  <c:v>BVPS (INR)</c:v>
                </c:pt>
                <c:pt idx="16">
                  <c:v>DPS (INR)</c:v>
                </c:pt>
                <c:pt idx="17">
                  <c:v>P/E (x)</c:v>
                </c:pt>
                <c:pt idx="18">
                  <c:v>P/BV (x)</c:v>
                </c:pt>
                <c:pt idx="19">
                  <c:v>EV/EBIDTA (x)</c:v>
                </c:pt>
                <c:pt idx="20">
                  <c:v>ROE (%)</c:v>
                </c:pt>
                <c:pt idx="21">
                  <c:v>ROCE (%)</c:v>
                </c:pt>
                <c:pt idx="22">
                  <c:v>Gross D/E (x)</c:v>
                </c:pt>
                <c:pt idx="23">
                  <c:v>Net D/E (x)</c:v>
                </c:pt>
                <c:pt idx="24">
                  <c:v>Dividend Yield (%)</c:v>
                </c:pt>
                <c:pt idx="25">
                  <c:v>Debtor Days</c:v>
                </c:pt>
                <c:pt idx="31">
                  <c:v>Inventory Days</c:v>
                </c:pt>
                <c:pt idx="32">
                  <c:v>Cash Conversion cycle</c:v>
                </c:pt>
                <c:pt idx="33">
                  <c:v>Fixed Asset Turnover</c:v>
                </c:pt>
                <c:pt idx="34">
                  <c:v>Interest Coverage Ratio</c:v>
                </c:pt>
                <c:pt idx="35">
                  <c:v>Working Capital Days</c:v>
                </c:pt>
              </c:strCache>
            </c:strRef>
          </c:cat>
          <c:val>
            <c:numRef>
              <c:f>Sheet1!$AB$58:$AB$76</c:f>
              <c:numCache>
                <c:formatCode>General</c:formatCode>
                <c:ptCount val="18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616-42FA-A946-5FA7B2438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0262815"/>
        <c:axId val="1955183"/>
      </c:barChart>
      <c:catAx>
        <c:axId val="1202628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5183"/>
        <c:crosses val="autoZero"/>
        <c:auto val="1"/>
        <c:lblAlgn val="ctr"/>
        <c:lblOffset val="100"/>
        <c:noMultiLvlLbl val="0"/>
      </c:catAx>
      <c:valAx>
        <c:axId val="19551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02628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1A07704-AF7B-4AD2-84B4-09900D328AAA}">
  <sheetPr/>
  <sheetViews>
    <sheetView zoomScale="8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9143" cy="605971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4F49E41-3DF3-7ED6-151E-3FAF51FEA60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76"/>
  <sheetViews>
    <sheetView tabSelected="1" zoomScale="80" zoomScaleNormal="80" workbookViewId="0">
      <selection activeCell="AB58" sqref="AB58"/>
    </sheetView>
  </sheetViews>
  <sheetFormatPr defaultRowHeight="14.4" x14ac:dyDescent="0.3"/>
  <cols>
    <col min="2" max="2" width="41.109375" customWidth="1"/>
    <col min="3" max="3" width="14.88671875" hidden="1" customWidth="1"/>
    <col min="4" max="4" width="15.33203125" hidden="1" customWidth="1"/>
    <col min="5" max="5" width="14.88671875" hidden="1" customWidth="1"/>
    <col min="6" max="6" width="15.33203125" hidden="1" customWidth="1"/>
    <col min="7" max="7" width="14.88671875" hidden="1" customWidth="1"/>
    <col min="8" max="9" width="15.33203125" bestFit="1" customWidth="1"/>
    <col min="10" max="10" width="18" customWidth="1"/>
    <col min="11" max="13" width="15.33203125" customWidth="1"/>
    <col min="14" max="14" width="9.88671875" customWidth="1"/>
    <col min="15" max="15" width="39.109375" customWidth="1"/>
    <col min="16" max="16" width="11.5546875" hidden="1" customWidth="1"/>
    <col min="17" max="17" width="15.5546875" hidden="1" customWidth="1"/>
    <col min="18" max="18" width="14.33203125" hidden="1" customWidth="1"/>
    <col min="19" max="19" width="14.109375" hidden="1" customWidth="1"/>
    <col min="20" max="21" width="14.33203125" hidden="1" customWidth="1"/>
    <col min="22" max="23" width="14.5546875" customWidth="1"/>
    <col min="24" max="24" width="15.5546875" customWidth="1"/>
    <col min="25" max="25" width="13" customWidth="1"/>
    <col min="26" max="26" width="14.88671875" bestFit="1" customWidth="1"/>
    <col min="27" max="27" width="14.88671875" customWidth="1"/>
    <col min="28" max="28" width="17.5546875" customWidth="1"/>
  </cols>
  <sheetData>
    <row r="1" spans="1:39" x14ac:dyDescent="0.3">
      <c r="A1" s="105"/>
      <c r="B1" s="109" t="s">
        <v>119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</row>
    <row r="2" spans="1:39" x14ac:dyDescent="0.3">
      <c r="B2" s="107" t="s">
        <v>0</v>
      </c>
      <c r="C2" s="108"/>
      <c r="D2" s="108"/>
      <c r="E2" s="108"/>
      <c r="F2" s="108"/>
      <c r="G2" s="108"/>
      <c r="H2" s="108"/>
      <c r="I2" s="108"/>
      <c r="J2" s="108"/>
      <c r="K2" s="108"/>
      <c r="L2" s="88"/>
      <c r="M2" s="88"/>
      <c r="O2" s="106" t="s">
        <v>1</v>
      </c>
      <c r="P2" s="106"/>
      <c r="Q2" s="106"/>
      <c r="R2" s="106"/>
      <c r="S2" s="106"/>
      <c r="T2" s="106"/>
      <c r="U2" s="106"/>
      <c r="V2" s="106"/>
      <c r="W2" s="106"/>
      <c r="X2" s="106"/>
    </row>
    <row r="3" spans="1:39" x14ac:dyDescent="0.3">
      <c r="B3" s="1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3" t="s">
        <v>10</v>
      </c>
      <c r="K3" s="2" t="s">
        <v>115</v>
      </c>
      <c r="L3" s="3" t="s">
        <v>121</v>
      </c>
      <c r="M3" s="2" t="s">
        <v>123</v>
      </c>
      <c r="O3" s="1" t="s">
        <v>2</v>
      </c>
      <c r="P3" s="2" t="s">
        <v>11</v>
      </c>
      <c r="Q3" s="2" t="s">
        <v>3</v>
      </c>
      <c r="R3" s="4" t="s">
        <v>4</v>
      </c>
      <c r="S3" s="4" t="s">
        <v>5</v>
      </c>
      <c r="T3" s="4" t="s">
        <v>6</v>
      </c>
      <c r="U3" s="4" t="s">
        <v>7</v>
      </c>
      <c r="V3" s="4" t="s">
        <v>8</v>
      </c>
      <c r="W3" s="2" t="s">
        <v>9</v>
      </c>
      <c r="X3" s="4" t="s">
        <v>10</v>
      </c>
      <c r="Y3" s="4" t="s">
        <v>115</v>
      </c>
      <c r="Z3" s="4" t="s">
        <v>121</v>
      </c>
      <c r="AA3" s="4" t="s">
        <v>123</v>
      </c>
    </row>
    <row r="4" spans="1:39" x14ac:dyDescent="0.3">
      <c r="B4" s="1" t="s">
        <v>12</v>
      </c>
      <c r="C4" s="5">
        <v>32162.97</v>
      </c>
      <c r="D4" s="5">
        <v>31041.1</v>
      </c>
      <c r="E4" s="5">
        <v>31938.06</v>
      </c>
      <c r="F4" s="5">
        <v>27242.45</v>
      </c>
      <c r="G4" s="5">
        <v>31851.72</v>
      </c>
      <c r="H4" s="5">
        <v>50322.966</v>
      </c>
      <c r="I4" s="79">
        <v>52872.046999999999</v>
      </c>
      <c r="J4" s="79">
        <f>525334.48/10</f>
        <v>52533.447999999997</v>
      </c>
      <c r="K4" s="81">
        <v>60233.752</v>
      </c>
      <c r="L4" s="79">
        <v>53384.036999999997</v>
      </c>
      <c r="M4" s="5">
        <v>36980.207999999991</v>
      </c>
      <c r="O4" s="6" t="s">
        <v>13</v>
      </c>
      <c r="P4" s="6"/>
      <c r="Q4" s="7">
        <v>965.02</v>
      </c>
      <c r="R4" s="7">
        <v>965.02</v>
      </c>
      <c r="S4" s="7">
        <v>965.02</v>
      </c>
      <c r="T4" s="7">
        <v>964.36099999999999</v>
      </c>
      <c r="U4" s="7">
        <v>940.20699999999999</v>
      </c>
      <c r="V4" s="6">
        <v>376.08</v>
      </c>
      <c r="W4" s="62">
        <v>376.08</v>
      </c>
      <c r="X4" s="62">
        <f>3760.83/10</f>
        <v>376.08299999999997</v>
      </c>
      <c r="Y4" s="64">
        <v>376.08300000000003</v>
      </c>
      <c r="Z4" s="64">
        <v>376.08300000000003</v>
      </c>
      <c r="AA4" s="64">
        <v>376.08300000000003</v>
      </c>
    </row>
    <row r="5" spans="1:39" x14ac:dyDescent="0.3">
      <c r="B5" s="8" t="s">
        <v>14</v>
      </c>
      <c r="C5" s="9"/>
      <c r="D5" s="9">
        <f t="shared" ref="D5:H5" si="0">D4/C4-1</f>
        <v>-3.4880796145380977E-2</v>
      </c>
      <c r="E5" s="9">
        <f t="shared" si="0"/>
        <v>2.889588320001546E-2</v>
      </c>
      <c r="F5" s="9">
        <f t="shared" si="0"/>
        <v>-0.14702239271890649</v>
      </c>
      <c r="G5" s="9">
        <f t="shared" si="0"/>
        <v>0.16919440065045555</v>
      </c>
      <c r="H5" s="9">
        <f t="shared" si="0"/>
        <v>0.57991361220053417</v>
      </c>
      <c r="I5" s="75">
        <f>I4/H4-1</f>
        <v>5.0654426847574818E-2</v>
      </c>
      <c r="J5" s="75">
        <f>J4/I4-1</f>
        <v>-6.4041212552259363E-3</v>
      </c>
      <c r="K5" s="75">
        <f>K4/J4-1</f>
        <v>0.14657907091877931</v>
      </c>
      <c r="L5" s="75">
        <f>L4/K4-1</f>
        <v>-0.11371888306077971</v>
      </c>
      <c r="M5" s="103" t="s">
        <v>101</v>
      </c>
      <c r="O5" s="6" t="s">
        <v>15</v>
      </c>
      <c r="P5" s="6"/>
      <c r="Q5" s="10">
        <v>4855.9830000000002</v>
      </c>
      <c r="R5" s="10">
        <v>5490.8879999999999</v>
      </c>
      <c r="S5" s="10">
        <v>5459.2690000000002</v>
      </c>
      <c r="T5" s="10">
        <v>5768.41</v>
      </c>
      <c r="U5" s="10">
        <v>9708.241</v>
      </c>
      <c r="V5" s="6">
        <v>14780.24</v>
      </c>
      <c r="W5" s="63">
        <v>18062.580000000002</v>
      </c>
      <c r="X5" s="62">
        <f>198150.43/10</f>
        <v>19815.042999999998</v>
      </c>
      <c r="Y5" s="64">
        <v>21936.800999999999</v>
      </c>
      <c r="Z5" s="64">
        <v>23326.081999999999</v>
      </c>
      <c r="AA5" s="64">
        <v>25197.898000000001</v>
      </c>
    </row>
    <row r="6" spans="1:39" x14ac:dyDescent="0.3">
      <c r="B6" s="8" t="s">
        <v>16</v>
      </c>
      <c r="C6" s="11"/>
      <c r="D6" s="11"/>
      <c r="E6" s="9"/>
      <c r="F6" s="9">
        <f t="shared" ref="F6:I6" si="1">(F4/C4)^(1/3)-1</f>
        <v>-5.3842712061395126E-2</v>
      </c>
      <c r="G6" s="9">
        <f t="shared" si="1"/>
        <v>8.630110147204606E-3</v>
      </c>
      <c r="H6" s="9">
        <f t="shared" si="1"/>
        <v>0.16364158332634293</v>
      </c>
      <c r="I6" s="75">
        <f t="shared" si="1"/>
        <v>0.24736433039088257</v>
      </c>
      <c r="J6" s="75">
        <f>(J4/G4)^(1/3)-1</f>
        <v>0.18150166783026811</v>
      </c>
      <c r="K6" s="75">
        <f>(K4/H4)^(1/3)-1</f>
        <v>6.1755604496799954E-2</v>
      </c>
      <c r="L6" s="75">
        <f>(L4/I4)^(1/3)-1</f>
        <v>3.2174922473182654E-3</v>
      </c>
      <c r="M6" s="103" t="s">
        <v>101</v>
      </c>
      <c r="N6" t="s">
        <v>104</v>
      </c>
      <c r="O6" s="12" t="s">
        <v>17</v>
      </c>
      <c r="P6" s="12"/>
      <c r="Q6" s="13">
        <f t="shared" ref="Q6:V6" si="2">Q4+Q5</f>
        <v>5821.0030000000006</v>
      </c>
      <c r="R6" s="13">
        <f t="shared" si="2"/>
        <v>6455.9079999999994</v>
      </c>
      <c r="S6" s="13">
        <f t="shared" si="2"/>
        <v>6424.2890000000007</v>
      </c>
      <c r="T6" s="13">
        <f t="shared" si="2"/>
        <v>6732.7709999999997</v>
      </c>
      <c r="U6" s="13">
        <f t="shared" si="2"/>
        <v>10648.448</v>
      </c>
      <c r="V6" s="13">
        <f t="shared" si="2"/>
        <v>15156.32</v>
      </c>
      <c r="W6" s="39">
        <f>W4+W5</f>
        <v>18438.660000000003</v>
      </c>
      <c r="X6" s="39">
        <f>X4+X5</f>
        <v>20191.125999999997</v>
      </c>
      <c r="Y6" s="39">
        <f>Y4+Y5</f>
        <v>22312.883999999998</v>
      </c>
      <c r="Z6" s="39">
        <f>Z4+Z5</f>
        <v>23702.164999999997</v>
      </c>
      <c r="AA6" s="39">
        <f>AA4+AA5</f>
        <v>25573.981</v>
      </c>
    </row>
    <row r="7" spans="1:39" x14ac:dyDescent="0.3">
      <c r="B7" s="12" t="s">
        <v>18</v>
      </c>
      <c r="C7" s="13">
        <f t="shared" ref="C7:G7" si="3">SUM(C8:C13)</f>
        <v>29190.2</v>
      </c>
      <c r="D7" s="13">
        <f t="shared" si="3"/>
        <v>29078.549999999996</v>
      </c>
      <c r="E7" s="13">
        <f t="shared" si="3"/>
        <v>31004.510000000002</v>
      </c>
      <c r="F7" s="13">
        <f t="shared" si="3"/>
        <v>25757.500000000004</v>
      </c>
      <c r="G7" s="13">
        <f t="shared" si="3"/>
        <v>25162.45</v>
      </c>
      <c r="H7" s="13">
        <f t="shared" ref="H7" si="4">SUM(H8:H13)</f>
        <v>41283.543999999994</v>
      </c>
      <c r="I7" s="71">
        <f>SUM(I8:I13)</f>
        <v>46299.122000000003</v>
      </c>
      <c r="J7" s="71">
        <f>SUM(J8:J13)</f>
        <v>47865.616999999998</v>
      </c>
      <c r="K7" s="71">
        <f>SUM(K8:K13)</f>
        <v>54907.580999999984</v>
      </c>
      <c r="L7" s="71">
        <f>SUM(L8:L13)</f>
        <v>48236.368999999999</v>
      </c>
      <c r="M7" s="13">
        <f>SUM(M8:M13)</f>
        <v>32136.329999999998</v>
      </c>
      <c r="O7" s="6" t="s">
        <v>19</v>
      </c>
      <c r="P7" s="6"/>
      <c r="Q7" s="7"/>
      <c r="R7" s="7"/>
      <c r="S7" s="7"/>
      <c r="T7" s="7"/>
      <c r="U7" s="7"/>
      <c r="V7" s="6"/>
      <c r="W7" s="64"/>
      <c r="X7" s="18"/>
      <c r="Y7" s="18"/>
      <c r="Z7" s="18"/>
      <c r="AA7" s="18">
        <v>23.238</v>
      </c>
    </row>
    <row r="8" spans="1:39" x14ac:dyDescent="0.3">
      <c r="B8" s="6" t="s">
        <v>20</v>
      </c>
      <c r="C8" s="7">
        <v>18296.14</v>
      </c>
      <c r="D8" s="7">
        <v>18349.189999999999</v>
      </c>
      <c r="E8" s="7">
        <v>19609.71</v>
      </c>
      <c r="F8" s="7">
        <v>16400.34</v>
      </c>
      <c r="G8" s="7">
        <v>15979.36</v>
      </c>
      <c r="H8" s="7">
        <v>27018.77</v>
      </c>
      <c r="I8" s="74">
        <v>32150.333999999999</v>
      </c>
      <c r="J8" s="74">
        <f>325515.98/10</f>
        <v>32551.597999999998</v>
      </c>
      <c r="K8" s="16">
        <v>38127.411999999997</v>
      </c>
      <c r="L8" s="74">
        <v>34249.491999999998</v>
      </c>
      <c r="M8" s="7">
        <v>22693.571</v>
      </c>
      <c r="O8" s="6" t="s">
        <v>21</v>
      </c>
      <c r="P8" s="6"/>
      <c r="Q8" s="10"/>
      <c r="R8" s="10"/>
      <c r="S8" s="10"/>
      <c r="T8" s="10"/>
      <c r="U8" s="10"/>
      <c r="V8" s="6"/>
      <c r="W8" s="64"/>
      <c r="X8" s="18"/>
      <c r="Y8" s="18"/>
      <c r="Z8" s="18"/>
      <c r="AA8" s="18">
        <v>17.288</v>
      </c>
    </row>
    <row r="9" spans="1:39" x14ac:dyDescent="0.3">
      <c r="B9" s="6" t="s">
        <v>22</v>
      </c>
      <c r="C9" s="7">
        <v>6725.63</v>
      </c>
      <c r="D9" s="7">
        <v>7910.3</v>
      </c>
      <c r="E9" s="7">
        <v>8602.26</v>
      </c>
      <c r="F9" s="7">
        <v>7038.49</v>
      </c>
      <c r="G9" s="7">
        <v>6898.5</v>
      </c>
      <c r="H9" s="7">
        <v>11343.989</v>
      </c>
      <c r="I9" s="74">
        <v>11906.428</v>
      </c>
      <c r="J9" s="74">
        <f>119405.75/10</f>
        <v>11940.575000000001</v>
      </c>
      <c r="K9" s="16">
        <v>13189.816999999999</v>
      </c>
      <c r="L9" s="74">
        <v>9927.0409999999993</v>
      </c>
      <c r="M9" s="7">
        <v>7710.2490000000007</v>
      </c>
      <c r="O9" s="6" t="s">
        <v>23</v>
      </c>
      <c r="P9" s="6"/>
      <c r="Q9" s="14"/>
      <c r="R9" s="14"/>
      <c r="S9" s="14"/>
      <c r="T9" s="10"/>
      <c r="U9" s="10"/>
      <c r="V9" s="6"/>
      <c r="W9" s="64"/>
      <c r="X9" s="18"/>
      <c r="Y9" s="18"/>
      <c r="Z9" s="18"/>
      <c r="AA9" s="18">
        <v>34.262</v>
      </c>
    </row>
    <row r="10" spans="1:39" x14ac:dyDescent="0.3">
      <c r="B10" s="6" t="s">
        <v>24</v>
      </c>
      <c r="C10" s="7">
        <v>2976.8</v>
      </c>
      <c r="D10" s="7">
        <v>775.18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4">
        <v>0</v>
      </c>
      <c r="K10" s="16">
        <v>0</v>
      </c>
      <c r="L10" s="74"/>
      <c r="M10" s="7"/>
      <c r="O10" s="12" t="s">
        <v>25</v>
      </c>
      <c r="P10" s="12"/>
      <c r="Q10" s="13">
        <f t="shared" ref="Q10:X10" si="5">Q8+Q9</f>
        <v>0</v>
      </c>
      <c r="R10" s="13">
        <f t="shared" si="5"/>
        <v>0</v>
      </c>
      <c r="S10" s="13">
        <f t="shared" si="5"/>
        <v>0</v>
      </c>
      <c r="T10" s="13">
        <f t="shared" si="5"/>
        <v>0</v>
      </c>
      <c r="U10" s="13">
        <f t="shared" si="5"/>
        <v>0</v>
      </c>
      <c r="V10" s="13">
        <f t="shared" si="5"/>
        <v>0</v>
      </c>
      <c r="W10" s="65">
        <f t="shared" si="5"/>
        <v>0</v>
      </c>
      <c r="X10" s="65">
        <f t="shared" si="5"/>
        <v>0</v>
      </c>
      <c r="Y10" s="65">
        <f t="shared" ref="Y10" si="6">Y8+Y9</f>
        <v>0</v>
      </c>
      <c r="Z10" s="65">
        <f>Z8+Z9</f>
        <v>0</v>
      </c>
      <c r="AA10" s="65">
        <f>AA8+AA9</f>
        <v>51.55</v>
      </c>
    </row>
    <row r="11" spans="1:39" x14ac:dyDescent="0.3">
      <c r="B11" s="15" t="s">
        <v>26</v>
      </c>
      <c r="C11" s="7">
        <v>-886.83</v>
      </c>
      <c r="D11" s="7">
        <v>-72.790000000000006</v>
      </c>
      <c r="E11" s="7">
        <v>568.34</v>
      </c>
      <c r="F11" s="7">
        <v>131.34</v>
      </c>
      <c r="G11" s="7">
        <v>67.16</v>
      </c>
      <c r="H11" s="7">
        <v>81.38</v>
      </c>
      <c r="I11" s="74">
        <v>-1058.615</v>
      </c>
      <c r="J11" s="74">
        <f>-614.54/10</f>
        <v>-61.453999999999994</v>
      </c>
      <c r="K11" s="16">
        <v>-60.600999999999999</v>
      </c>
      <c r="L11" s="74">
        <v>44.552</v>
      </c>
      <c r="M11" s="7">
        <v>-430.52200000000005</v>
      </c>
      <c r="O11" s="12" t="s">
        <v>27</v>
      </c>
      <c r="P11" s="12"/>
      <c r="Q11" s="13">
        <f t="shared" ref="Q11:AA11" si="7">Q6+Q7+Q8+SUM(Q49:Q52)</f>
        <v>6352.7120000000004</v>
      </c>
      <c r="R11" s="13">
        <f t="shared" si="7"/>
        <v>6993.0329999999994</v>
      </c>
      <c r="S11" s="13">
        <f t="shared" si="7"/>
        <v>7006.3290000000006</v>
      </c>
      <c r="T11" s="13">
        <f t="shared" si="7"/>
        <v>7341.5069999999996</v>
      </c>
      <c r="U11" s="13">
        <f t="shared" si="7"/>
        <v>11337.356</v>
      </c>
      <c r="V11" s="13">
        <f t="shared" si="7"/>
        <v>15734.509</v>
      </c>
      <c r="W11" s="65">
        <f t="shared" si="7"/>
        <v>18888.450000000004</v>
      </c>
      <c r="X11" s="65">
        <f t="shared" si="7"/>
        <v>21661.086999999996</v>
      </c>
      <c r="Y11" s="65">
        <f t="shared" si="7"/>
        <v>23870.662999999997</v>
      </c>
      <c r="Z11" s="65">
        <f t="shared" si="7"/>
        <v>25405.798999999999</v>
      </c>
      <c r="AA11" s="65">
        <f>AA6+AA7+AA8+SUM(AA49:AA52)</f>
        <v>27258.25</v>
      </c>
    </row>
    <row r="12" spans="1:39" x14ac:dyDescent="0.3">
      <c r="B12" s="6" t="s">
        <v>28</v>
      </c>
      <c r="C12" s="7">
        <v>353.06</v>
      </c>
      <c r="D12" s="7">
        <v>395.01</v>
      </c>
      <c r="E12" s="7">
        <v>396.5</v>
      </c>
      <c r="F12" s="7">
        <v>416.88</v>
      </c>
      <c r="G12" s="7">
        <v>456.83</v>
      </c>
      <c r="H12" s="7">
        <v>483.125</v>
      </c>
      <c r="I12" s="74">
        <v>547.18600000000004</v>
      </c>
      <c r="J12" s="74">
        <f>6349.01/10</f>
        <v>634.90100000000007</v>
      </c>
      <c r="K12" s="16">
        <v>640.23199999999997</v>
      </c>
      <c r="L12" s="74">
        <v>722.54700000000003</v>
      </c>
      <c r="M12" s="7">
        <v>435.86</v>
      </c>
      <c r="O12" s="12" t="s">
        <v>124</v>
      </c>
      <c r="P12" s="12"/>
      <c r="Q12" s="13">
        <f t="shared" ref="Q12:Z12" si="8">Q53-Q40-Q9</f>
        <v>6352.7119999999995</v>
      </c>
      <c r="R12" s="13">
        <f t="shared" si="8"/>
        <v>6993.0329999999985</v>
      </c>
      <c r="S12" s="13">
        <f t="shared" si="8"/>
        <v>7006.3289999999997</v>
      </c>
      <c r="T12" s="13">
        <f t="shared" si="8"/>
        <v>7341.5070000000005</v>
      </c>
      <c r="U12" s="13">
        <f t="shared" si="8"/>
        <v>11337.356</v>
      </c>
      <c r="V12" s="13">
        <f t="shared" si="8"/>
        <v>15734.469999999998</v>
      </c>
      <c r="W12" s="65">
        <f t="shared" si="8"/>
        <v>18888.440999999999</v>
      </c>
      <c r="X12" s="65">
        <f t="shared" si="8"/>
        <v>21661.087</v>
      </c>
      <c r="Y12" s="65">
        <f t="shared" si="8"/>
        <v>23870.656000000003</v>
      </c>
      <c r="Z12" s="65">
        <f t="shared" si="8"/>
        <v>25405.802000000003</v>
      </c>
      <c r="AA12" s="65">
        <f>AA6+AA7</f>
        <v>25597.219000000001</v>
      </c>
    </row>
    <row r="13" spans="1:39" x14ac:dyDescent="0.3">
      <c r="B13" s="6" t="s">
        <v>29</v>
      </c>
      <c r="C13" s="7">
        <v>1725.4</v>
      </c>
      <c r="D13" s="7">
        <v>1721.66</v>
      </c>
      <c r="E13" s="7">
        <v>1827.7</v>
      </c>
      <c r="F13" s="7">
        <v>1770.45</v>
      </c>
      <c r="G13" s="7">
        <v>1760.6</v>
      </c>
      <c r="H13" s="16">
        <v>2356.2800000000002</v>
      </c>
      <c r="I13" s="74">
        <v>2753.7890000000002</v>
      </c>
      <c r="J13" s="74">
        <f>27999.97/10</f>
        <v>2799.9970000000003</v>
      </c>
      <c r="K13" s="16">
        <v>3010.721</v>
      </c>
      <c r="L13" s="74">
        <v>3292.7370000000001</v>
      </c>
      <c r="M13" s="7">
        <v>1727.1719999999998</v>
      </c>
      <c r="O13" s="6"/>
      <c r="P13" s="6"/>
      <c r="Q13" s="7"/>
      <c r="R13" s="7"/>
      <c r="S13" s="7"/>
      <c r="T13" s="7"/>
      <c r="U13" s="7"/>
      <c r="V13" s="6"/>
      <c r="W13" s="64"/>
      <c r="X13" s="18"/>
      <c r="Y13" s="18"/>
      <c r="Z13" s="18"/>
      <c r="AA13" s="18"/>
    </row>
    <row r="14" spans="1:39" x14ac:dyDescent="0.3">
      <c r="B14" s="12" t="s">
        <v>30</v>
      </c>
      <c r="C14" s="13">
        <f t="shared" ref="C14:G14" si="9">C4-C7</f>
        <v>2972.7700000000004</v>
      </c>
      <c r="D14" s="13">
        <f t="shared" si="9"/>
        <v>1962.5500000000029</v>
      </c>
      <c r="E14" s="13">
        <f t="shared" si="9"/>
        <v>933.54999999999927</v>
      </c>
      <c r="F14" s="13">
        <f t="shared" si="9"/>
        <v>1484.9499999999971</v>
      </c>
      <c r="G14" s="13">
        <f t="shared" si="9"/>
        <v>6689.27</v>
      </c>
      <c r="H14" s="13">
        <f t="shared" ref="H14:M14" si="10">H4-H7</f>
        <v>9039.4220000000059</v>
      </c>
      <c r="I14" s="71">
        <f t="shared" si="10"/>
        <v>6572.9249999999956</v>
      </c>
      <c r="J14" s="71">
        <f t="shared" si="10"/>
        <v>4667.8309999999983</v>
      </c>
      <c r="K14" s="71">
        <f t="shared" si="10"/>
        <v>5326.1710000000166</v>
      </c>
      <c r="L14" s="71">
        <f t="shared" si="10"/>
        <v>5147.6679999999978</v>
      </c>
      <c r="M14" s="13">
        <f>M4-M7</f>
        <v>4843.8779999999933</v>
      </c>
      <c r="O14" s="6"/>
      <c r="P14" s="6"/>
      <c r="Q14" s="7"/>
      <c r="R14" s="7"/>
      <c r="S14" s="7"/>
      <c r="T14" s="7"/>
      <c r="U14" s="7"/>
      <c r="V14" s="6"/>
      <c r="W14" s="64"/>
      <c r="X14" s="18"/>
      <c r="Y14" s="18"/>
      <c r="Z14" s="18"/>
      <c r="AA14" s="18"/>
    </row>
    <row r="15" spans="1:39" x14ac:dyDescent="0.3">
      <c r="B15" s="8" t="s">
        <v>14</v>
      </c>
      <c r="C15" s="9"/>
      <c r="D15" s="9">
        <f t="shared" ref="D15:H15" si="11">D14/C14-1</f>
        <v>-0.33982447347086975</v>
      </c>
      <c r="E15" s="9">
        <f t="shared" si="11"/>
        <v>-0.52431785177447821</v>
      </c>
      <c r="F15" s="9">
        <f t="shared" si="11"/>
        <v>0.59064859943227277</v>
      </c>
      <c r="G15" s="9">
        <f t="shared" si="11"/>
        <v>3.5047105963163832</v>
      </c>
      <c r="H15" s="9">
        <f t="shared" si="11"/>
        <v>0.35133161017570003</v>
      </c>
      <c r="I15" s="75">
        <f>I14/H14-1</f>
        <v>-0.27286003463495878</v>
      </c>
      <c r="J15" s="75">
        <f>J14/I14-1</f>
        <v>-0.28983960717640911</v>
      </c>
      <c r="K15" s="75">
        <f>K14/J14-1</f>
        <v>0.14103766824463415</v>
      </c>
      <c r="L15" s="75">
        <f>L14/K14-1</f>
        <v>-3.3514320137302822E-2</v>
      </c>
      <c r="M15" s="103" t="s">
        <v>101</v>
      </c>
      <c r="O15" s="12" t="s">
        <v>31</v>
      </c>
      <c r="P15" s="12"/>
      <c r="Q15" s="13">
        <f t="shared" ref="Q15:AA15" si="12">SUM(Q16:Q28)</f>
        <v>3582.442</v>
      </c>
      <c r="R15" s="13">
        <f t="shared" si="12"/>
        <v>3570.5349999999999</v>
      </c>
      <c r="S15" s="13">
        <f t="shared" si="12"/>
        <v>3679.1500000000005</v>
      </c>
      <c r="T15" s="13">
        <f t="shared" si="12"/>
        <v>3877.6019999999999</v>
      </c>
      <c r="U15" s="13">
        <f t="shared" si="12"/>
        <v>3902.7840000000001</v>
      </c>
      <c r="V15" s="13">
        <f t="shared" si="12"/>
        <v>5333.32</v>
      </c>
      <c r="W15" s="65">
        <f t="shared" si="12"/>
        <v>7025.8639999999996</v>
      </c>
      <c r="X15" s="65">
        <f t="shared" si="12"/>
        <v>10621.073</v>
      </c>
      <c r="Y15" s="65">
        <f t="shared" si="12"/>
        <v>14267.746999999999</v>
      </c>
      <c r="Z15" s="65">
        <f t="shared" si="12"/>
        <v>16004.851000000002</v>
      </c>
      <c r="AA15" s="65">
        <f>SUM(AA16:AA28)</f>
        <v>16033.792999999998</v>
      </c>
    </row>
    <row r="16" spans="1:39" x14ac:dyDescent="0.3">
      <c r="B16" s="8" t="s">
        <v>16</v>
      </c>
      <c r="C16" s="9"/>
      <c r="D16" s="9"/>
      <c r="E16" s="9"/>
      <c r="F16" s="9">
        <f t="shared" ref="F16:J16" si="13">(F14/C14)^(1/3)-1</f>
        <v>-0.20655497690380886</v>
      </c>
      <c r="G16" s="9">
        <f t="shared" si="13"/>
        <v>0.50494050724175565</v>
      </c>
      <c r="H16" s="9">
        <f t="shared" si="13"/>
        <v>1.1314134047460542</v>
      </c>
      <c r="I16" s="75">
        <f t="shared" si="13"/>
        <v>0.64190849069171207</v>
      </c>
      <c r="J16" s="75">
        <f t="shared" si="13"/>
        <v>-0.11302346091505011</v>
      </c>
      <c r="K16" s="75">
        <f>(K14/H14)^(1/3)-1</f>
        <v>-0.16165106945137375</v>
      </c>
      <c r="L16" s="75">
        <f>(L14/I14)^(1/3)-1</f>
        <v>-7.8241217741700231E-2</v>
      </c>
      <c r="M16" s="103" t="s">
        <v>101</v>
      </c>
      <c r="O16" s="6" t="s">
        <v>32</v>
      </c>
      <c r="P16" s="6">
        <v>3313.2420000000002</v>
      </c>
      <c r="Q16" s="10">
        <v>3353.799</v>
      </c>
      <c r="R16" s="10">
        <v>3322.4029999999998</v>
      </c>
      <c r="S16" s="10">
        <v>3300.77</v>
      </c>
      <c r="T16" s="10">
        <v>3416.2570000000001</v>
      </c>
      <c r="U16" s="7">
        <v>3189.48</v>
      </c>
      <c r="V16" s="7">
        <v>3020.05</v>
      </c>
      <c r="W16" s="62">
        <v>5115.1220000000003</v>
      </c>
      <c r="X16" s="62">
        <f>65746.56/10</f>
        <v>6574.6559999999999</v>
      </c>
      <c r="Y16" s="62">
        <v>6906.6869999999999</v>
      </c>
      <c r="Z16" s="62">
        <v>13581.32</v>
      </c>
      <c r="AA16" s="62">
        <v>13998.791000000001</v>
      </c>
      <c r="AB16" s="56"/>
    </row>
    <row r="17" spans="2:27" x14ac:dyDescent="0.3">
      <c r="B17" s="12" t="s">
        <v>33</v>
      </c>
      <c r="C17" s="17">
        <f t="shared" ref="C17:H17" si="14">C14/C4</f>
        <v>9.2428342283066525E-2</v>
      </c>
      <c r="D17" s="17">
        <f t="shared" si="14"/>
        <v>6.3224241408970788E-2</v>
      </c>
      <c r="E17" s="17">
        <f t="shared" si="14"/>
        <v>2.9230015849428526E-2</v>
      </c>
      <c r="F17" s="17">
        <f t="shared" si="14"/>
        <v>5.4508680386675834E-2</v>
      </c>
      <c r="G17" s="17">
        <f t="shared" si="14"/>
        <v>0.21001283447173341</v>
      </c>
      <c r="H17" s="17">
        <f t="shared" si="14"/>
        <v>0.17962816420637856</v>
      </c>
      <c r="I17" s="76">
        <f>I14/I4</f>
        <v>0.12431758127314411</v>
      </c>
      <c r="J17" s="76">
        <f>J14/J4</f>
        <v>8.8854457068951551E-2</v>
      </c>
      <c r="K17" s="76">
        <f>K14/K4</f>
        <v>8.8425024560980642E-2</v>
      </c>
      <c r="L17" s="76">
        <f>L14/L4</f>
        <v>9.6427102356459071E-2</v>
      </c>
      <c r="M17" s="17">
        <f>M14/M4</f>
        <v>0.13098568834442453</v>
      </c>
      <c r="O17" s="6" t="s">
        <v>34</v>
      </c>
      <c r="P17" s="6"/>
      <c r="Q17" s="10">
        <v>14.032999999999999</v>
      </c>
      <c r="R17" s="10">
        <v>11.645</v>
      </c>
      <c r="S17" s="10">
        <v>10.483000000000001</v>
      </c>
      <c r="T17" s="14">
        <v>8.0229999999999997</v>
      </c>
      <c r="U17" s="10">
        <v>6.3639999999999999</v>
      </c>
      <c r="V17" s="7">
        <v>4.8600000000000003</v>
      </c>
      <c r="W17" s="62">
        <v>3.88</v>
      </c>
      <c r="X17" s="62">
        <v>2.649</v>
      </c>
      <c r="Y17" s="62">
        <v>8.84</v>
      </c>
      <c r="Z17" s="62">
        <v>15.667999999999999</v>
      </c>
      <c r="AA17" s="62">
        <v>17.686</v>
      </c>
    </row>
    <row r="18" spans="2:27" x14ac:dyDescent="0.3">
      <c r="B18" s="6" t="s">
        <v>35</v>
      </c>
      <c r="C18" s="7">
        <v>222.18</v>
      </c>
      <c r="D18" s="7">
        <v>207.46</v>
      </c>
      <c r="E18" s="7">
        <v>232.72</v>
      </c>
      <c r="F18" s="7">
        <v>360.3</v>
      </c>
      <c r="G18" s="7">
        <v>391.43</v>
      </c>
      <c r="H18" s="7">
        <v>418.51100000000002</v>
      </c>
      <c r="I18" s="74">
        <v>466.02699999999999</v>
      </c>
      <c r="J18" s="74">
        <f>5948.79/10</f>
        <v>594.87900000000002</v>
      </c>
      <c r="K18" s="86">
        <v>679.38800000000003</v>
      </c>
      <c r="L18" s="100">
        <v>911.07399999999996</v>
      </c>
      <c r="M18" s="98">
        <v>564.48900000000003</v>
      </c>
      <c r="O18" s="6" t="s">
        <v>125</v>
      </c>
      <c r="P18" s="6"/>
      <c r="Q18" s="10"/>
      <c r="R18" s="10"/>
      <c r="S18" s="10"/>
      <c r="T18" s="14"/>
      <c r="U18" s="10"/>
      <c r="V18" s="7"/>
      <c r="W18" s="62"/>
      <c r="X18" s="62"/>
      <c r="Y18" s="62"/>
      <c r="Z18" s="62"/>
      <c r="AA18" s="62">
        <v>159.953</v>
      </c>
    </row>
    <row r="19" spans="2:27" x14ac:dyDescent="0.3">
      <c r="B19" s="6" t="s">
        <v>37</v>
      </c>
      <c r="C19" s="7">
        <v>47.01</v>
      </c>
      <c r="D19" s="7">
        <v>46.04</v>
      </c>
      <c r="E19" s="7">
        <v>39.03</v>
      </c>
      <c r="F19" s="7">
        <v>64.94</v>
      </c>
      <c r="G19" s="7">
        <v>72.7</v>
      </c>
      <c r="H19" s="16">
        <v>47.73</v>
      </c>
      <c r="I19" s="74">
        <v>35.761000000000003</v>
      </c>
      <c r="J19" s="74">
        <f>722.16/10</f>
        <v>72.215999999999994</v>
      </c>
      <c r="K19" s="7">
        <v>124.139</v>
      </c>
      <c r="L19" s="74">
        <v>140.97200000000001</v>
      </c>
      <c r="M19" s="7">
        <v>69.731999999999999</v>
      </c>
      <c r="O19" s="6" t="s">
        <v>126</v>
      </c>
      <c r="P19" s="6"/>
      <c r="Q19" s="10"/>
      <c r="R19" s="10"/>
      <c r="S19" s="10"/>
      <c r="T19" s="14"/>
      <c r="U19" s="10"/>
      <c r="V19" s="7"/>
      <c r="W19" s="62"/>
      <c r="X19" s="62"/>
      <c r="Y19" s="62"/>
      <c r="Z19" s="62"/>
      <c r="AA19" s="62">
        <v>12.891</v>
      </c>
    </row>
    <row r="20" spans="2:27" x14ac:dyDescent="0.3">
      <c r="B20" s="6" t="s">
        <v>39</v>
      </c>
      <c r="C20" s="7">
        <v>74.91</v>
      </c>
      <c r="D20" s="7">
        <v>80.2</v>
      </c>
      <c r="E20" s="7">
        <v>99.8</v>
      </c>
      <c r="F20" s="7">
        <v>119.21</v>
      </c>
      <c r="G20" s="7">
        <v>212.78</v>
      </c>
      <c r="H20" s="7">
        <v>305.01</v>
      </c>
      <c r="I20" s="74">
        <v>589.35900000000004</v>
      </c>
      <c r="J20" s="74">
        <v>681.42700000000002</v>
      </c>
      <c r="K20" s="7">
        <v>731.63</v>
      </c>
      <c r="L20" s="74">
        <v>432.822</v>
      </c>
      <c r="M20" s="7">
        <v>288.096</v>
      </c>
      <c r="O20" s="6" t="s">
        <v>118</v>
      </c>
      <c r="P20" s="6"/>
      <c r="Q20" s="10"/>
      <c r="R20" s="10"/>
      <c r="S20" s="10"/>
      <c r="T20" s="14"/>
      <c r="U20" s="10"/>
      <c r="V20" s="7"/>
      <c r="W20" s="62"/>
      <c r="X20" s="62"/>
      <c r="Y20" s="62">
        <v>6.9850000000000003</v>
      </c>
      <c r="Z20" s="62"/>
      <c r="AA20" s="62">
        <v>0</v>
      </c>
    </row>
    <row r="21" spans="2:27" x14ac:dyDescent="0.3">
      <c r="B21" s="1" t="s">
        <v>41</v>
      </c>
      <c r="C21" s="5">
        <f t="shared" ref="C21:H21" si="15">C14-C18-C19+C20</f>
        <v>2778.4900000000002</v>
      </c>
      <c r="D21" s="5">
        <f t="shared" si="15"/>
        <v>1789.250000000003</v>
      </c>
      <c r="E21" s="5">
        <f t="shared" si="15"/>
        <v>761.59999999999923</v>
      </c>
      <c r="F21" s="5">
        <f t="shared" si="15"/>
        <v>1178.9199999999971</v>
      </c>
      <c r="G21" s="5">
        <f t="shared" si="15"/>
        <v>6437.92</v>
      </c>
      <c r="H21" s="5">
        <f t="shared" si="15"/>
        <v>8878.1910000000062</v>
      </c>
      <c r="I21" s="79">
        <f>I14-I18-I19+I20</f>
        <v>6660.4959999999955</v>
      </c>
      <c r="J21" s="79">
        <f>J14-J18-J19+J20</f>
        <v>4682.1629999999986</v>
      </c>
      <c r="K21" s="81">
        <f>K14-K18-K19+K20</f>
        <v>5254.2740000000167</v>
      </c>
      <c r="L21" s="79">
        <f>L14-L18-L19+L20-99.734</f>
        <v>4428.7099999999973</v>
      </c>
      <c r="M21" s="5">
        <f>M14-M18-M19+M20</f>
        <v>4497.7529999999933</v>
      </c>
      <c r="O21" s="6" t="s">
        <v>36</v>
      </c>
      <c r="P21" s="6"/>
      <c r="Q21" s="10">
        <v>126.758</v>
      </c>
      <c r="R21" s="10">
        <v>96.513000000000005</v>
      </c>
      <c r="S21" s="10">
        <v>237.58699999999999</v>
      </c>
      <c r="T21" s="10">
        <v>84.025000000000006</v>
      </c>
      <c r="U21" s="10">
        <v>90.662999999999997</v>
      </c>
      <c r="V21" s="7">
        <v>1789.44</v>
      </c>
      <c r="W21" s="62">
        <v>1080.4269999999999</v>
      </c>
      <c r="X21" s="62">
        <v>2326.1460000000002</v>
      </c>
      <c r="Y21" s="62">
        <v>5808.4269999999997</v>
      </c>
      <c r="Z21" s="62">
        <v>741.02800000000002</v>
      </c>
      <c r="AA21" s="62">
        <v>567.74700000000007</v>
      </c>
    </row>
    <row r="22" spans="2:27" x14ac:dyDescent="0.3">
      <c r="B22" s="6" t="s">
        <v>42</v>
      </c>
      <c r="C22" s="7">
        <v>984.36</v>
      </c>
      <c r="D22" s="7">
        <v>628.15</v>
      </c>
      <c r="E22" s="7">
        <v>269.56</v>
      </c>
      <c r="F22" s="7">
        <v>152.4</v>
      </c>
      <c r="G22" s="7">
        <v>1662.91</v>
      </c>
      <c r="H22" s="7">
        <v>2245.5300000000002</v>
      </c>
      <c r="I22" s="74">
        <v>1687.492</v>
      </c>
      <c r="J22" s="74">
        <f>(11912.09+260.7)/10</f>
        <v>1217.279</v>
      </c>
      <c r="K22" s="7">
        <f>1324.854+24.172</f>
        <v>1349.0260000000001</v>
      </c>
      <c r="L22" s="74">
        <f>981.05+174.585</f>
        <v>1155.635</v>
      </c>
      <c r="M22" s="7">
        <v>1150.57</v>
      </c>
      <c r="N22" s="56"/>
      <c r="O22" s="6" t="s">
        <v>38</v>
      </c>
      <c r="P22" s="6"/>
      <c r="Q22" s="7">
        <v>0</v>
      </c>
      <c r="R22" s="7">
        <v>0</v>
      </c>
      <c r="S22" s="7">
        <v>0</v>
      </c>
      <c r="T22" s="7">
        <v>284.738</v>
      </c>
      <c r="U22" s="7">
        <v>392.56099999999998</v>
      </c>
      <c r="V22" s="7">
        <v>344.1</v>
      </c>
      <c r="W22" s="62">
        <v>147.04599999999999</v>
      </c>
      <c r="X22" s="62">
        <v>1110.17</v>
      </c>
      <c r="Y22" s="62">
        <v>1213.752</v>
      </c>
      <c r="Z22" s="62">
        <v>1130.8679999999999</v>
      </c>
      <c r="AA22" s="62">
        <v>978.05</v>
      </c>
    </row>
    <row r="23" spans="2:27" x14ac:dyDescent="0.3">
      <c r="B23" s="12" t="s">
        <v>44</v>
      </c>
      <c r="C23" s="13">
        <f t="shared" ref="C23:G23" si="16">C21-C22</f>
        <v>1794.13</v>
      </c>
      <c r="D23" s="13">
        <f t="shared" si="16"/>
        <v>1161.1000000000031</v>
      </c>
      <c r="E23" s="13">
        <f t="shared" si="16"/>
        <v>492.03999999999922</v>
      </c>
      <c r="F23" s="13">
        <f t="shared" si="16"/>
        <v>1026.519999999997</v>
      </c>
      <c r="G23" s="13">
        <f t="shared" si="16"/>
        <v>4775.01</v>
      </c>
      <c r="H23" s="13">
        <f t="shared" ref="H23:L23" si="17">H21-H22</f>
        <v>6632.6610000000055</v>
      </c>
      <c r="I23" s="71">
        <f t="shared" si="17"/>
        <v>4973.0039999999954</v>
      </c>
      <c r="J23" s="71">
        <f t="shared" si="17"/>
        <v>3464.8839999999987</v>
      </c>
      <c r="K23" s="71">
        <f t="shared" si="17"/>
        <v>3905.2480000000169</v>
      </c>
      <c r="L23" s="71">
        <f t="shared" si="17"/>
        <v>3273.0749999999971</v>
      </c>
      <c r="M23" s="13">
        <f>M21-M22</f>
        <v>3347.1829999999936</v>
      </c>
      <c r="O23" s="6" t="s">
        <v>40</v>
      </c>
      <c r="P23" s="6"/>
      <c r="Q23" s="7"/>
      <c r="R23" s="7"/>
      <c r="S23" s="7"/>
      <c r="T23" s="7"/>
      <c r="U23" s="7"/>
      <c r="V23" s="7"/>
      <c r="W23" s="64"/>
      <c r="X23" s="18"/>
      <c r="Y23" s="18"/>
      <c r="Z23" s="18"/>
      <c r="AA23" s="18"/>
    </row>
    <row r="24" spans="2:27" x14ac:dyDescent="0.3">
      <c r="B24" s="8" t="s">
        <v>14</v>
      </c>
      <c r="C24" s="9"/>
      <c r="D24" s="9">
        <f t="shared" ref="D24:H24" si="18">D23/C23-1</f>
        <v>-0.35283396409401602</v>
      </c>
      <c r="E24" s="9">
        <f t="shared" si="18"/>
        <v>-0.57622943760227552</v>
      </c>
      <c r="F24" s="9">
        <f t="shared" si="18"/>
        <v>1.0862531501503914</v>
      </c>
      <c r="G24" s="9">
        <f t="shared" si="18"/>
        <v>3.6516482874176965</v>
      </c>
      <c r="H24" s="9">
        <f t="shared" si="18"/>
        <v>0.38903604390357405</v>
      </c>
      <c r="I24" s="75">
        <f>I23/H23-1</f>
        <v>-0.25022490973080169</v>
      </c>
      <c r="J24" s="75">
        <f>J23/I23-1</f>
        <v>-0.30326136878232912</v>
      </c>
      <c r="K24" s="75">
        <f>K23/J23-1</f>
        <v>0.12709343227652603</v>
      </c>
      <c r="L24" s="75">
        <f>L23/K23-1</f>
        <v>-0.16187781160121384</v>
      </c>
      <c r="M24" s="103" t="s">
        <v>101</v>
      </c>
      <c r="O24" s="19" t="s">
        <v>116</v>
      </c>
      <c r="P24" s="6"/>
      <c r="Q24" s="7"/>
      <c r="R24" s="7"/>
      <c r="S24" s="7"/>
      <c r="T24" s="7"/>
      <c r="U24" s="7"/>
      <c r="V24" s="7"/>
      <c r="W24" s="64"/>
      <c r="X24" s="18"/>
      <c r="Y24" s="18">
        <v>53.6</v>
      </c>
      <c r="Z24" s="18">
        <f>374.17+13.079</f>
        <v>387.24900000000002</v>
      </c>
      <c r="AA24" s="18">
        <v>53.603999999999999</v>
      </c>
    </row>
    <row r="25" spans="2:27" x14ac:dyDescent="0.3">
      <c r="B25" s="8" t="s">
        <v>16</v>
      </c>
      <c r="C25" s="9"/>
      <c r="D25" s="9"/>
      <c r="E25" s="9"/>
      <c r="F25" s="9">
        <f t="shared" ref="F25:J25" si="19">(F23/C23)^(1/3)-1</f>
        <v>-0.16982209789209446</v>
      </c>
      <c r="G25" s="9">
        <f t="shared" si="19"/>
        <v>0.60214402124422506</v>
      </c>
      <c r="H25" s="9">
        <f t="shared" si="19"/>
        <v>1.3799205752297836</v>
      </c>
      <c r="I25" s="75">
        <f t="shared" si="19"/>
        <v>0.69206534605037517</v>
      </c>
      <c r="J25" s="75">
        <f t="shared" si="19"/>
        <v>-0.10138953624682323</v>
      </c>
      <c r="K25" s="75">
        <f>(K23/H23)^(1/3)-1</f>
        <v>-0.16185284993681182</v>
      </c>
      <c r="L25" s="75">
        <f>(L23/I23)^(1/3)-1</f>
        <v>-0.130147299426847</v>
      </c>
      <c r="M25" s="103" t="s">
        <v>101</v>
      </c>
      <c r="N25" s="57"/>
      <c r="O25" s="19" t="s">
        <v>117</v>
      </c>
      <c r="P25" s="19"/>
      <c r="Q25" s="10">
        <v>9.3059999999999992</v>
      </c>
      <c r="R25" s="10">
        <v>13.356</v>
      </c>
      <c r="S25" s="10">
        <v>8.6950000000000003</v>
      </c>
      <c r="T25" s="10">
        <v>12.506</v>
      </c>
      <c r="U25" s="10">
        <v>8.5169999999999995</v>
      </c>
      <c r="V25" s="7">
        <v>12.4</v>
      </c>
      <c r="W25" s="62">
        <v>19.494</v>
      </c>
      <c r="X25" s="62">
        <v>12.65</v>
      </c>
      <c r="Y25" s="62">
        <v>15.340999999999999</v>
      </c>
      <c r="Z25" s="62">
        <v>18.62</v>
      </c>
      <c r="AA25" s="62">
        <v>18.925999999999998</v>
      </c>
    </row>
    <row r="26" spans="2:27" x14ac:dyDescent="0.3">
      <c r="B26" s="12" t="s">
        <v>48</v>
      </c>
      <c r="C26" s="17">
        <f t="shared" ref="C26:H26" si="20">C23/C4</f>
        <v>5.5782472825115344E-2</v>
      </c>
      <c r="D26" s="17">
        <f t="shared" si="20"/>
        <v>3.7405246592421115E-2</v>
      </c>
      <c r="E26" s="17">
        <f t="shared" si="20"/>
        <v>1.5406070374969525E-2</v>
      </c>
      <c r="F26" s="17">
        <f t="shared" si="20"/>
        <v>3.768089874442266E-2</v>
      </c>
      <c r="G26" s="17">
        <f t="shared" si="20"/>
        <v>0.14991372522425792</v>
      </c>
      <c r="H26" s="17">
        <f t="shared" si="20"/>
        <v>0.13180186954799139</v>
      </c>
      <c r="I26" s="76">
        <f>I23/I4</f>
        <v>9.4057338086418238E-2</v>
      </c>
      <c r="J26" s="76">
        <f>J23/J4</f>
        <v>6.5955769741213227E-2</v>
      </c>
      <c r="K26" s="76">
        <f>K23/K4</f>
        <v>6.4834878624197553E-2</v>
      </c>
      <c r="L26" s="76">
        <f>L23/L4</f>
        <v>6.1311867440823127E-2</v>
      </c>
      <c r="M26" s="17">
        <f>M23/M4</f>
        <v>9.0512822426525946E-2</v>
      </c>
      <c r="O26" s="19" t="s">
        <v>43</v>
      </c>
      <c r="P26" s="19"/>
      <c r="Q26" s="14">
        <v>34.581000000000003</v>
      </c>
      <c r="R26" s="10">
        <v>34.585000000000001</v>
      </c>
      <c r="S26" s="10">
        <v>44.216999999999999</v>
      </c>
      <c r="T26" s="10">
        <v>41.198</v>
      </c>
      <c r="U26" s="20">
        <v>53.252000000000002</v>
      </c>
      <c r="V26" s="7">
        <v>47.82</v>
      </c>
      <c r="W26" s="62">
        <v>253.77099999999999</v>
      </c>
      <c r="X26" s="62">
        <v>63.749000000000002</v>
      </c>
      <c r="Y26" s="62">
        <v>50.281999999999996</v>
      </c>
      <c r="Z26" s="62">
        <v>75.683000000000007</v>
      </c>
      <c r="AA26" s="62">
        <v>66.400999999999996</v>
      </c>
    </row>
    <row r="27" spans="2:27" x14ac:dyDescent="0.3">
      <c r="B27" s="6" t="s">
        <v>49</v>
      </c>
      <c r="C27" s="22">
        <v>-4.24</v>
      </c>
      <c r="D27" s="22">
        <v>-3.63</v>
      </c>
      <c r="E27" s="22">
        <v>-0.13900000000000001</v>
      </c>
      <c r="F27" s="22">
        <v>-5.64</v>
      </c>
      <c r="G27" s="22">
        <v>-8</v>
      </c>
      <c r="H27" s="6">
        <v>-8.27</v>
      </c>
      <c r="I27" s="69">
        <v>-4.3579999999999997</v>
      </c>
      <c r="J27" s="69">
        <f>-200.37/10</f>
        <v>-20.036999999999999</v>
      </c>
      <c r="K27" s="21">
        <v>2.903</v>
      </c>
      <c r="L27" s="69">
        <v>-3.379</v>
      </c>
      <c r="M27" s="21">
        <v>-21.81</v>
      </c>
      <c r="O27" s="6" t="s">
        <v>120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21"/>
      <c r="AA27" s="21"/>
    </row>
    <row r="28" spans="2:27" x14ac:dyDescent="0.3">
      <c r="B28" s="12" t="s">
        <v>51</v>
      </c>
      <c r="C28" s="13">
        <f>SUM(C23+C27)</f>
        <v>1789.89</v>
      </c>
      <c r="D28" s="13">
        <f>SUM(D23+D27)</f>
        <v>1157.470000000003</v>
      </c>
      <c r="E28" s="13">
        <f t="shared" ref="E28:G28" si="21">SUM(E23+E27)</f>
        <v>491.90099999999921</v>
      </c>
      <c r="F28" s="13">
        <f t="shared" si="21"/>
        <v>1020.879999999997</v>
      </c>
      <c r="G28" s="13">
        <f t="shared" si="21"/>
        <v>4767.01</v>
      </c>
      <c r="H28" s="13">
        <f>SUM(H23+H27)</f>
        <v>6624.3910000000051</v>
      </c>
      <c r="I28" s="71">
        <f>SUM(I23+I27)</f>
        <v>4968.6459999999952</v>
      </c>
      <c r="J28" s="71">
        <f>SUM(J23+J27)</f>
        <v>3444.8469999999988</v>
      </c>
      <c r="K28" s="87">
        <f>K23-K27</f>
        <v>3902.3450000000171</v>
      </c>
      <c r="L28" s="87">
        <f>L23+L27</f>
        <v>3269.6959999999972</v>
      </c>
      <c r="M28" s="101">
        <f>M23+M27</f>
        <v>3325.3729999999937</v>
      </c>
      <c r="O28" s="6" t="s">
        <v>45</v>
      </c>
      <c r="P28" s="6"/>
      <c r="Q28" s="10">
        <v>43.965000000000003</v>
      </c>
      <c r="R28" s="10">
        <v>92.033000000000001</v>
      </c>
      <c r="S28" s="10">
        <v>77.397999999999996</v>
      </c>
      <c r="T28" s="10">
        <v>30.855</v>
      </c>
      <c r="U28" s="20">
        <v>161.947</v>
      </c>
      <c r="V28" s="7">
        <v>114.65</v>
      </c>
      <c r="W28" s="62">
        <v>406.12400000000002</v>
      </c>
      <c r="X28" s="62">
        <v>531.053</v>
      </c>
      <c r="Y28" s="62">
        <v>203.833</v>
      </c>
      <c r="Z28" s="62">
        <v>54.414999999999999</v>
      </c>
      <c r="AA28" s="62">
        <v>159.744</v>
      </c>
    </row>
    <row r="29" spans="2:27" x14ac:dyDescent="0.3">
      <c r="B29" s="25" t="s">
        <v>14</v>
      </c>
      <c r="C29" s="26"/>
      <c r="D29" s="27">
        <f>D28/C28-1</f>
        <v>-0.35332897552363385</v>
      </c>
      <c r="E29" s="27">
        <f t="shared" ref="E29:H29" si="22">E28/D28-1</f>
        <v>-0.57502051889034012</v>
      </c>
      <c r="F29" s="27">
        <f t="shared" si="22"/>
        <v>1.0753769559321871</v>
      </c>
      <c r="G29" s="27">
        <f t="shared" si="22"/>
        <v>3.6695106182901167</v>
      </c>
      <c r="H29" s="27">
        <f t="shared" si="22"/>
        <v>0.3896322852270091</v>
      </c>
      <c r="I29" s="77">
        <f>I28/H28-1</f>
        <v>-0.24994674982198495</v>
      </c>
      <c r="J29" s="77">
        <f>J28/I28-1</f>
        <v>-0.30668294742672308</v>
      </c>
      <c r="K29" s="77">
        <f>K28/J28-1</f>
        <v>0.13280647877830809</v>
      </c>
      <c r="L29" s="77">
        <f>L28/K28-1</f>
        <v>-0.16212021233387031</v>
      </c>
      <c r="M29" s="103" t="s">
        <v>101</v>
      </c>
      <c r="O29" s="12" t="s">
        <v>46</v>
      </c>
      <c r="P29" s="12"/>
      <c r="Q29" s="13">
        <f>SUM(Q30:Q39)</f>
        <v>7714.6440000000002</v>
      </c>
      <c r="R29" s="13">
        <f>SUM(R30:R39)</f>
        <v>9386.9869999999992</v>
      </c>
      <c r="S29" s="13">
        <f t="shared" ref="S29:V29" si="23">SUM(S30:S39)</f>
        <v>8529.51</v>
      </c>
      <c r="T29" s="13">
        <f t="shared" si="23"/>
        <v>8672.9479999999985</v>
      </c>
      <c r="U29" s="13">
        <f t="shared" si="23"/>
        <v>13650.592999999999</v>
      </c>
      <c r="V29" s="13">
        <f t="shared" si="23"/>
        <v>17449.55</v>
      </c>
      <c r="W29" s="65">
        <f>SUM(W30:W39)</f>
        <v>20284.330000000002</v>
      </c>
      <c r="X29" s="65">
        <f>SUM(X30:X39)</f>
        <v>20027.218999999997</v>
      </c>
      <c r="Y29" s="65">
        <f>SUM(Y30:Y39)</f>
        <v>20213.248000000003</v>
      </c>
      <c r="Z29" s="65">
        <f>SUM(Z30:Z39)</f>
        <v>18662.23</v>
      </c>
      <c r="AA29" s="65">
        <f>SUM(AA30:AA39)</f>
        <v>24765.007000000001</v>
      </c>
    </row>
    <row r="30" spans="2:27" x14ac:dyDescent="0.3">
      <c r="B30" s="25" t="s">
        <v>54</v>
      </c>
      <c r="C30" s="26"/>
      <c r="D30" s="26"/>
      <c r="E30" s="26"/>
      <c r="F30" s="9">
        <f t="shared" ref="F30:J30" si="24">(F28/C28)^(1/3)-1</f>
        <v>-0.1706914975393381</v>
      </c>
      <c r="G30" s="9">
        <f t="shared" si="24"/>
        <v>0.60292095501483067</v>
      </c>
      <c r="H30" s="9">
        <f t="shared" si="24"/>
        <v>1.3791550773188441</v>
      </c>
      <c r="I30" s="75">
        <f t="shared" si="24"/>
        <v>0.69468032232476529</v>
      </c>
      <c r="J30" s="75">
        <f t="shared" si="24"/>
        <v>-0.1026236391093297</v>
      </c>
      <c r="K30" s="75">
        <f>(K28/H28)^(1/3)-1</f>
        <v>-0.16171202857265932</v>
      </c>
      <c r="L30" s="75">
        <f>(L28/I28)^(1/3)-1</f>
        <v>-0.13019258280726176</v>
      </c>
      <c r="M30" s="103" t="s">
        <v>101</v>
      </c>
      <c r="O30" s="6" t="s">
        <v>47</v>
      </c>
      <c r="P30" s="21">
        <v>1814.442</v>
      </c>
      <c r="Q30" s="14">
        <v>3058.5720000000001</v>
      </c>
      <c r="R30" s="14">
        <v>3128.5940000000001</v>
      </c>
      <c r="S30" s="14">
        <v>2450.5030000000002</v>
      </c>
      <c r="T30" s="14">
        <v>2584.299</v>
      </c>
      <c r="U30" s="10">
        <v>3178.08</v>
      </c>
      <c r="V30" s="6">
        <v>3007.55</v>
      </c>
      <c r="W30" s="62">
        <v>6469.3140000000003</v>
      </c>
      <c r="X30" s="62">
        <v>4806.0330000000004</v>
      </c>
      <c r="Y30" s="64">
        <v>7008.0339999999997</v>
      </c>
      <c r="Z30" s="64">
        <v>6143.0770000000002</v>
      </c>
      <c r="AA30" s="64">
        <v>9283.7900000000009</v>
      </c>
    </row>
    <row r="31" spans="2:27" x14ac:dyDescent="0.3">
      <c r="B31" s="6"/>
      <c r="C31" s="6"/>
      <c r="D31" s="6"/>
      <c r="E31" s="6"/>
      <c r="F31" s="6"/>
      <c r="G31" s="6"/>
      <c r="H31" s="6"/>
      <c r="I31" s="28"/>
      <c r="J31" s="28"/>
      <c r="K31" s="6"/>
      <c r="L31" s="28"/>
      <c r="M31" s="6"/>
      <c r="O31" s="6" t="s">
        <v>40</v>
      </c>
      <c r="P31" s="6"/>
      <c r="Q31" s="7"/>
      <c r="R31" s="7"/>
      <c r="S31" s="7"/>
      <c r="T31" s="7"/>
      <c r="U31" s="7"/>
      <c r="V31" s="6"/>
      <c r="W31" s="64"/>
      <c r="X31" s="18"/>
      <c r="Y31" s="18"/>
      <c r="Z31" s="18"/>
      <c r="AA31" s="18"/>
    </row>
    <row r="32" spans="2:27" x14ac:dyDescent="0.3">
      <c r="B32" s="12" t="s">
        <v>57</v>
      </c>
      <c r="C32" s="29">
        <v>18.59</v>
      </c>
      <c r="D32" s="29">
        <v>12.03</v>
      </c>
      <c r="E32" s="29">
        <v>5.0999999999999996</v>
      </c>
      <c r="F32" s="29">
        <v>10.64</v>
      </c>
      <c r="G32" s="30">
        <v>50.63</v>
      </c>
      <c r="H32" s="30">
        <v>35.270000000000003</v>
      </c>
      <c r="I32" s="78">
        <v>26.49</v>
      </c>
      <c r="J32" s="78">
        <v>18.43</v>
      </c>
      <c r="K32" s="30">
        <v>20.77</v>
      </c>
      <c r="L32" s="78">
        <v>17.41</v>
      </c>
      <c r="M32" s="30">
        <v>17.739999999999998</v>
      </c>
      <c r="O32" s="6" t="s">
        <v>50</v>
      </c>
      <c r="P32" s="6"/>
      <c r="Q32" s="7">
        <v>0</v>
      </c>
      <c r="R32" s="7">
        <v>1106.0260000000001</v>
      </c>
      <c r="S32" s="7">
        <v>2507.9609999999998</v>
      </c>
      <c r="T32" s="7">
        <v>1348.126</v>
      </c>
      <c r="U32" s="7">
        <v>4702.8310000000001</v>
      </c>
      <c r="V32" s="6">
        <v>4837.88</v>
      </c>
      <c r="W32" s="62">
        <v>5625.5069999999996</v>
      </c>
      <c r="X32" s="62">
        <v>5717.9579999999996</v>
      </c>
      <c r="Y32" s="62">
        <v>4300.0010000000002</v>
      </c>
      <c r="Z32" s="62">
        <v>2867.93</v>
      </c>
      <c r="AA32" s="62">
        <v>4627.7160000000003</v>
      </c>
    </row>
    <row r="33" spans="2:27" x14ac:dyDescent="0.3">
      <c r="B33" s="8" t="s">
        <v>14</v>
      </c>
      <c r="C33" s="9"/>
      <c r="D33" s="9">
        <f t="shared" ref="D33:H33" si="25">D32/C32-1</f>
        <v>-0.35287789133942982</v>
      </c>
      <c r="E33" s="9">
        <f t="shared" si="25"/>
        <v>-0.57605985037406482</v>
      </c>
      <c r="F33" s="9">
        <f t="shared" si="25"/>
        <v>1.0862745098039217</v>
      </c>
      <c r="G33" s="9">
        <f t="shared" si="25"/>
        <v>3.7584586466165417</v>
      </c>
      <c r="H33" s="9">
        <f t="shared" si="25"/>
        <v>-0.30337744420304169</v>
      </c>
      <c r="I33" s="75">
        <f>I32/H32-1</f>
        <v>-0.24893677346186571</v>
      </c>
      <c r="J33" s="75">
        <f>J32/I32-1</f>
        <v>-0.30426576066440159</v>
      </c>
      <c r="K33" s="75">
        <f>K32/J32-1</f>
        <v>0.12696690179055881</v>
      </c>
      <c r="L33" s="75">
        <f>L32/K32-1</f>
        <v>-0.16177178623013955</v>
      </c>
      <c r="M33" s="103" t="s">
        <v>101</v>
      </c>
      <c r="O33" s="23" t="s">
        <v>52</v>
      </c>
      <c r="P33" s="24">
        <v>2811.6170000000002</v>
      </c>
      <c r="Q33" s="10">
        <v>3073.8890000000001</v>
      </c>
      <c r="R33" s="10">
        <v>2952.6390000000001</v>
      </c>
      <c r="S33" s="10">
        <v>2846.8890000000001</v>
      </c>
      <c r="T33" s="10">
        <v>2480.8319999999999</v>
      </c>
      <c r="U33" s="20">
        <v>3833.3539999999998</v>
      </c>
      <c r="V33" s="6">
        <v>4117.84</v>
      </c>
      <c r="W33" s="62">
        <v>3622.913</v>
      </c>
      <c r="X33" s="62">
        <v>3949.7139999999999</v>
      </c>
      <c r="Y33" s="62">
        <v>3932.4389999999999</v>
      </c>
      <c r="Z33" s="62">
        <v>5037.9930000000004</v>
      </c>
      <c r="AA33" s="62">
        <v>6061.2820000000011</v>
      </c>
    </row>
    <row r="34" spans="2:27" x14ac:dyDescent="0.3">
      <c r="B34" s="8" t="s">
        <v>16</v>
      </c>
      <c r="C34" s="9"/>
      <c r="D34" s="9"/>
      <c r="E34" s="9"/>
      <c r="F34" s="9">
        <f t="shared" ref="F34:J34" si="26">(F32/C32)^(1/3)-1</f>
        <v>-0.16972732325029882</v>
      </c>
      <c r="G34" s="9">
        <f t="shared" si="26"/>
        <v>0.61453488560311609</v>
      </c>
      <c r="H34" s="9">
        <f t="shared" si="26"/>
        <v>0.90521983620989954</v>
      </c>
      <c r="I34" s="75">
        <f t="shared" si="26"/>
        <v>0.35533538429591793</v>
      </c>
      <c r="J34" s="75">
        <f t="shared" si="26"/>
        <v>-0.28598752021157392</v>
      </c>
      <c r="K34" s="75">
        <f>(K32/H32)^(1/3)-1</f>
        <v>-0.16180767672751772</v>
      </c>
      <c r="L34" s="75">
        <f>(L32/I32)^(1/3)-1</f>
        <v>-0.13056135959194426</v>
      </c>
      <c r="M34" s="103" t="s">
        <v>101</v>
      </c>
      <c r="O34" s="23" t="s">
        <v>53</v>
      </c>
      <c r="P34" s="23"/>
      <c r="Q34" s="10">
        <v>932.61300000000006</v>
      </c>
      <c r="R34" s="10">
        <v>1232.694</v>
      </c>
      <c r="S34" s="10">
        <v>330.09899999999999</v>
      </c>
      <c r="T34" s="10">
        <v>1709.0440000000001</v>
      </c>
      <c r="U34" s="10">
        <v>660.77099999999996</v>
      </c>
      <c r="V34" s="6">
        <v>2175.38</v>
      </c>
      <c r="W34" s="37">
        <v>818.14499999999998</v>
      </c>
      <c r="X34" s="62">
        <v>2159.145</v>
      </c>
      <c r="Y34" s="62">
        <v>3054.0839999999998</v>
      </c>
      <c r="Z34" s="62">
        <v>2964.8119999999999</v>
      </c>
      <c r="AA34" s="62">
        <v>1742.6590000000001</v>
      </c>
    </row>
    <row r="35" spans="2:27" x14ac:dyDescent="0.3">
      <c r="K35" s="6"/>
      <c r="L35" s="28"/>
      <c r="M35" s="104"/>
      <c r="O35" s="23" t="s">
        <v>55</v>
      </c>
      <c r="P35" s="23"/>
      <c r="Q35" s="14">
        <v>45.256999999999998</v>
      </c>
      <c r="R35" s="10">
        <v>51.197000000000003</v>
      </c>
      <c r="S35" s="10">
        <v>52.9</v>
      </c>
      <c r="T35" s="10">
        <v>49.481000000000002</v>
      </c>
      <c r="U35" s="10">
        <v>406.72399999999999</v>
      </c>
      <c r="V35" s="6">
        <v>2299.1</v>
      </c>
      <c r="W35" s="63">
        <v>2677.027</v>
      </c>
      <c r="X35" s="62">
        <v>3044.547</v>
      </c>
      <c r="Y35" s="62">
        <v>1563.9459999999999</v>
      </c>
      <c r="Z35" s="62">
        <v>1362.9880000000001</v>
      </c>
      <c r="AA35" s="62">
        <v>2625.7</v>
      </c>
    </row>
    <row r="36" spans="2:27" x14ac:dyDescent="0.3">
      <c r="B36" s="1" t="s">
        <v>62</v>
      </c>
      <c r="C36" s="2" t="s">
        <v>3</v>
      </c>
      <c r="D36" s="2" t="s">
        <v>4</v>
      </c>
      <c r="E36" s="2" t="s">
        <v>5</v>
      </c>
      <c r="F36" s="2" t="s">
        <v>6</v>
      </c>
      <c r="G36" s="2" t="s">
        <v>7</v>
      </c>
      <c r="H36" s="2" t="s">
        <v>8</v>
      </c>
      <c r="I36" s="3" t="s">
        <v>9</v>
      </c>
      <c r="J36" s="3" t="s">
        <v>10</v>
      </c>
      <c r="K36" s="2" t="s">
        <v>115</v>
      </c>
      <c r="L36" s="2" t="s">
        <v>121</v>
      </c>
      <c r="M36" s="2" t="s">
        <v>123</v>
      </c>
      <c r="O36" s="6" t="s">
        <v>56</v>
      </c>
      <c r="P36" s="6"/>
      <c r="Q36" s="14">
        <v>5.0419999999999998</v>
      </c>
      <c r="R36" s="10">
        <v>7.0629999999999997</v>
      </c>
      <c r="S36" s="10">
        <v>8.0310000000000006</v>
      </c>
      <c r="T36" s="10">
        <v>8.9749999999999996</v>
      </c>
      <c r="U36" s="10">
        <v>6.4450000000000003</v>
      </c>
      <c r="V36" s="6">
        <v>7.68</v>
      </c>
      <c r="W36" s="62">
        <v>8.7799999999999994</v>
      </c>
      <c r="X36" s="62">
        <v>8.0250000000000004</v>
      </c>
      <c r="Y36" s="62">
        <v>7.2910000000000004</v>
      </c>
      <c r="Z36" s="62">
        <v>6.9660000000000002</v>
      </c>
      <c r="AA36" s="62">
        <v>7.1859999999999999</v>
      </c>
    </row>
    <row r="37" spans="2:27" ht="14.1" customHeight="1" x14ac:dyDescent="0.3">
      <c r="B37" s="31" t="s">
        <v>64</v>
      </c>
      <c r="C37" s="21">
        <v>709.178</v>
      </c>
      <c r="D37" s="6">
        <v>977.87</v>
      </c>
      <c r="E37" s="7">
        <v>2389.9169999999999</v>
      </c>
      <c r="F37" s="7">
        <v>2890.96</v>
      </c>
      <c r="G37" s="7">
        <v>3106.65</v>
      </c>
      <c r="H37" s="18">
        <v>5770.326</v>
      </c>
      <c r="I37" s="67">
        <v>9312.3799999999992</v>
      </c>
      <c r="J37" s="67">
        <f>I42</f>
        <v>8944.0559999999987</v>
      </c>
      <c r="K37" s="73">
        <f>J42</f>
        <v>10727.606999999998</v>
      </c>
      <c r="L37" s="37">
        <f>K42</f>
        <v>8722.0889999999981</v>
      </c>
      <c r="M37" s="37">
        <f>L42</f>
        <v>7012.4779999999982</v>
      </c>
      <c r="O37" s="23" t="s">
        <v>58</v>
      </c>
      <c r="P37" s="23"/>
      <c r="Q37" s="10">
        <v>60.421999999999997</v>
      </c>
      <c r="R37" s="10">
        <v>27.087</v>
      </c>
      <c r="S37" s="10">
        <v>17.186</v>
      </c>
      <c r="T37" s="10">
        <v>71.988</v>
      </c>
      <c r="U37" s="10">
        <v>567.91600000000005</v>
      </c>
      <c r="V37" s="6">
        <v>600.34</v>
      </c>
      <c r="W37" s="62">
        <v>563.00599999999997</v>
      </c>
      <c r="X37" s="62">
        <v>74.010000000000005</v>
      </c>
      <c r="Y37" s="62">
        <v>104.146</v>
      </c>
      <c r="Z37" s="62">
        <v>123.871</v>
      </c>
      <c r="AA37" s="62">
        <v>96.653999999999996</v>
      </c>
    </row>
    <row r="38" spans="2:27" x14ac:dyDescent="0.3">
      <c r="B38" s="6" t="s">
        <v>66</v>
      </c>
      <c r="C38" s="7">
        <v>686.37199999999996</v>
      </c>
      <c r="D38" s="7">
        <v>2127.12</v>
      </c>
      <c r="E38" s="7">
        <v>1329.723</v>
      </c>
      <c r="F38" s="7">
        <v>1190.2809999999999</v>
      </c>
      <c r="G38" s="7">
        <v>4347.134</v>
      </c>
      <c r="H38" s="18">
        <v>6722.1450000000004</v>
      </c>
      <c r="I38" s="67">
        <v>3036.4050000000002</v>
      </c>
      <c r="J38" s="67">
        <v>5570.2669999999998</v>
      </c>
      <c r="K38" s="98">
        <v>3416.0590000000002</v>
      </c>
      <c r="L38" s="98">
        <v>2463.2890000000002</v>
      </c>
      <c r="M38" s="98">
        <v>4163.16</v>
      </c>
      <c r="O38" s="6" t="s">
        <v>59</v>
      </c>
      <c r="P38" s="6"/>
      <c r="Q38" s="7">
        <v>114.23099999999999</v>
      </c>
      <c r="R38" s="7">
        <v>22.591999999999999</v>
      </c>
      <c r="S38" s="7">
        <v>22.954999999999998</v>
      </c>
      <c r="T38" s="7">
        <v>102.75700000000001</v>
      </c>
      <c r="U38" s="7">
        <v>84.605999999999995</v>
      </c>
      <c r="V38" s="6">
        <v>87.94</v>
      </c>
      <c r="W38" s="62">
        <v>130.339</v>
      </c>
      <c r="X38" s="62">
        <v>47.625</v>
      </c>
      <c r="Y38" s="62">
        <v>28.495999999999999</v>
      </c>
      <c r="Z38" s="62">
        <v>8.0679999999999996</v>
      </c>
      <c r="AA38" s="62">
        <v>11.077</v>
      </c>
    </row>
    <row r="39" spans="2:27" x14ac:dyDescent="0.3">
      <c r="B39" s="6" t="s">
        <v>68</v>
      </c>
      <c r="C39" s="7">
        <v>-254.51499999999999</v>
      </c>
      <c r="D39" s="7">
        <v>-146.36699999999999</v>
      </c>
      <c r="E39" s="7">
        <v>-266.09500000000003</v>
      </c>
      <c r="F39" s="7">
        <v>-69.709999999999994</v>
      </c>
      <c r="G39" s="7">
        <v>-639.21299999999997</v>
      </c>
      <c r="H39" s="18">
        <v>-1400.16</v>
      </c>
      <c r="I39" s="67">
        <v>-1468.4349999999999</v>
      </c>
      <c r="J39" s="67">
        <v>-1817.713</v>
      </c>
      <c r="K39" s="67">
        <v>-3302.453</v>
      </c>
      <c r="L39" s="62">
        <v>-1897.703</v>
      </c>
      <c r="M39" s="62">
        <v>-572.95399999999995</v>
      </c>
      <c r="O39" s="6" t="s">
        <v>60</v>
      </c>
      <c r="P39" s="6"/>
      <c r="Q39" s="7">
        <v>424.61799999999999</v>
      </c>
      <c r="R39" s="7">
        <v>859.09500000000003</v>
      </c>
      <c r="S39" s="7">
        <v>292.98599999999999</v>
      </c>
      <c r="T39" s="7">
        <v>317.44600000000003</v>
      </c>
      <c r="U39" s="16">
        <v>209.86600000000001</v>
      </c>
      <c r="V39" s="6">
        <v>315.83999999999997</v>
      </c>
      <c r="W39" s="62">
        <v>369.29899999999998</v>
      </c>
      <c r="X39" s="62">
        <v>220.16200000000001</v>
      </c>
      <c r="Y39" s="64">
        <v>214.81100000000001</v>
      </c>
      <c r="Z39" s="64">
        <v>146.52500000000001</v>
      </c>
      <c r="AA39" s="64">
        <v>308.94299999999998</v>
      </c>
    </row>
    <row r="40" spans="2:27" x14ac:dyDescent="0.3">
      <c r="B40" s="6" t="s">
        <v>70</v>
      </c>
      <c r="C40" s="7">
        <v>-163.16499999999999</v>
      </c>
      <c r="D40" s="7">
        <v>-568.70600000000002</v>
      </c>
      <c r="E40" s="7">
        <v>-562.58500000000004</v>
      </c>
      <c r="F40" s="7">
        <v>-904.88</v>
      </c>
      <c r="G40" s="7">
        <v>-1044.2460000000001</v>
      </c>
      <c r="H40" s="18">
        <v>-1779.93</v>
      </c>
      <c r="I40" s="67">
        <v>-1936.2940000000001</v>
      </c>
      <c r="J40" s="67">
        <v>-1969.0029999999999</v>
      </c>
      <c r="K40" s="67">
        <v>-2119.1239999999998</v>
      </c>
      <c r="L40" s="62">
        <v>-2275.2570000000001</v>
      </c>
      <c r="M40" s="62">
        <v>-1746.729</v>
      </c>
      <c r="O40" s="12" t="s">
        <v>61</v>
      </c>
      <c r="P40" s="12"/>
      <c r="Q40" s="13">
        <f t="shared" ref="Q40:U40" si="27">SUM(Q42:Q47)</f>
        <v>4944.3739999999998</v>
      </c>
      <c r="R40" s="13">
        <f t="shared" si="27"/>
        <v>5964.4890000000005</v>
      </c>
      <c r="S40" s="13">
        <f t="shared" si="27"/>
        <v>5202.3310000000001</v>
      </c>
      <c r="T40" s="13">
        <f t="shared" si="27"/>
        <v>5209.0429999999988</v>
      </c>
      <c r="U40" s="13">
        <f t="shared" si="27"/>
        <v>6216.0209999999997</v>
      </c>
      <c r="V40" s="13">
        <f>SUM(V42:V47)</f>
        <v>7048.4000000000005</v>
      </c>
      <c r="W40" s="65">
        <f>SUM(W42:W47)</f>
        <v>8421.7530000000024</v>
      </c>
      <c r="X40" s="65">
        <f>SUM(X42:X47)</f>
        <v>8987.2049999999981</v>
      </c>
      <c r="Y40" s="65">
        <f>SUM(Y42:Y47)</f>
        <v>10610.339</v>
      </c>
      <c r="Z40" s="65">
        <f>SUM(Z42:Z47)</f>
        <v>9261.2790000000005</v>
      </c>
      <c r="AA40" s="65">
        <f>SUM(AA42:AA47)+AA9</f>
        <v>13540.550000000001</v>
      </c>
    </row>
    <row r="41" spans="2:27" x14ac:dyDescent="0.3">
      <c r="B41" s="6" t="s">
        <v>72</v>
      </c>
      <c r="C41" s="7">
        <f t="shared" ref="C41:H41" si="28">C38+C39+C40</f>
        <v>268.69200000000001</v>
      </c>
      <c r="D41" s="7">
        <f t="shared" si="28"/>
        <v>1412.047</v>
      </c>
      <c r="E41" s="7">
        <f t="shared" si="28"/>
        <v>501.04299999999989</v>
      </c>
      <c r="F41" s="7">
        <f t="shared" si="28"/>
        <v>215.69099999999992</v>
      </c>
      <c r="G41" s="7">
        <f t="shared" si="28"/>
        <v>2663.6750000000002</v>
      </c>
      <c r="H41" s="18">
        <f t="shared" si="28"/>
        <v>3542.0550000000003</v>
      </c>
      <c r="I41" s="67">
        <f>I38+I39+I40</f>
        <v>-368.32399999999984</v>
      </c>
      <c r="J41" s="67">
        <f>J38+J39+J40</f>
        <v>1783.5510000000002</v>
      </c>
      <c r="K41" s="67">
        <f>K38+K39+K40</f>
        <v>-2005.5179999999996</v>
      </c>
      <c r="L41" s="62">
        <f>L38+L39+L40</f>
        <v>-1709.6709999999998</v>
      </c>
      <c r="M41" s="62">
        <f>M38+M39+M40</f>
        <v>1843.4770000000001</v>
      </c>
      <c r="O41" s="6" t="s">
        <v>63</v>
      </c>
      <c r="P41" s="6"/>
      <c r="Q41" s="7"/>
      <c r="R41" s="7"/>
      <c r="S41" s="7"/>
      <c r="T41" s="7"/>
      <c r="U41" s="7"/>
      <c r="V41" s="6"/>
      <c r="W41" s="64"/>
      <c r="X41" s="18"/>
      <c r="Y41" s="18"/>
      <c r="Z41" s="18"/>
      <c r="AA41" s="18"/>
    </row>
    <row r="42" spans="2:27" x14ac:dyDescent="0.3">
      <c r="B42" s="12" t="s">
        <v>74</v>
      </c>
      <c r="C42" s="13">
        <f t="shared" ref="C42:D42" si="29">C37+C41</f>
        <v>977.87</v>
      </c>
      <c r="D42" s="13">
        <f t="shared" si="29"/>
        <v>2389.9169999999999</v>
      </c>
      <c r="E42" s="13">
        <f>E37+E41</f>
        <v>2890.96</v>
      </c>
      <c r="F42" s="13">
        <f>F37+F41</f>
        <v>3106.6509999999998</v>
      </c>
      <c r="G42" s="13">
        <f t="shared" ref="G42:H42" si="30">G37+G41</f>
        <v>5770.3250000000007</v>
      </c>
      <c r="H42" s="13">
        <f t="shared" si="30"/>
        <v>9312.3810000000012</v>
      </c>
      <c r="I42" s="71">
        <f>I37+I41</f>
        <v>8944.0559999999987</v>
      </c>
      <c r="J42" s="71">
        <f>J37+J41</f>
        <v>10727.606999999998</v>
      </c>
      <c r="K42" s="71">
        <f>K37+K41</f>
        <v>8722.0889999999981</v>
      </c>
      <c r="L42" s="13">
        <f>L37+L41+0.06</f>
        <v>7012.4779999999982</v>
      </c>
      <c r="M42" s="13">
        <f>M37+M41</f>
        <v>8855.9549999999981</v>
      </c>
      <c r="O42" s="6" t="s">
        <v>65</v>
      </c>
      <c r="P42" s="6">
        <v>4127.42</v>
      </c>
      <c r="Q42" s="10">
        <v>4318.2179999999998</v>
      </c>
      <c r="R42" s="10">
        <v>5726.2830000000004</v>
      </c>
      <c r="S42" s="10">
        <f>5.347+4735.814</f>
        <v>4741.1610000000001</v>
      </c>
      <c r="T42" s="10">
        <f>6.391+4755.257</f>
        <v>4761.6479999999992</v>
      </c>
      <c r="U42" s="10">
        <f>4.515+5680.897</f>
        <v>5685.4120000000003</v>
      </c>
      <c r="V42" s="6">
        <v>5259.34</v>
      </c>
      <c r="W42" s="62">
        <v>7820.2330000000002</v>
      </c>
      <c r="X42" s="62">
        <f>(258.88+80632.34)/10</f>
        <v>8089.1220000000003</v>
      </c>
      <c r="Y42" s="62">
        <f>(109.62+92664.85)/10</f>
        <v>9277.4470000000001</v>
      </c>
      <c r="Z42" s="62">
        <f>9.568+7853.488</f>
        <v>7863.0560000000005</v>
      </c>
      <c r="AA42" s="62">
        <v>11624.353000000001</v>
      </c>
    </row>
    <row r="43" spans="2:27" x14ac:dyDescent="0.3">
      <c r="J43" s="32"/>
      <c r="K43" s="6"/>
      <c r="L43" s="6"/>
      <c r="M43" s="6"/>
      <c r="O43" s="6" t="s">
        <v>67</v>
      </c>
      <c r="P43" s="6"/>
      <c r="Q43" s="14">
        <v>174.16900000000001</v>
      </c>
      <c r="R43" s="10">
        <v>119.84699999999999</v>
      </c>
      <c r="S43" s="10">
        <v>241.13</v>
      </c>
      <c r="T43" s="10">
        <v>196.81899999999999</v>
      </c>
      <c r="U43" s="10">
        <v>192.26</v>
      </c>
      <c r="V43" s="6">
        <v>966.47</v>
      </c>
      <c r="W43" s="62">
        <v>296.154</v>
      </c>
      <c r="X43" s="62">
        <f>4549.84/10</f>
        <v>454.98400000000004</v>
      </c>
      <c r="Y43" s="62">
        <v>755.73199999999997</v>
      </c>
      <c r="Z43" s="62">
        <v>577.96</v>
      </c>
      <c r="AA43" s="62">
        <v>553.76499999999999</v>
      </c>
    </row>
    <row r="44" spans="2:27" x14ac:dyDescent="0.3">
      <c r="B44" s="33" t="s">
        <v>77</v>
      </c>
      <c r="C44" s="4" t="s">
        <v>3</v>
      </c>
      <c r="D44" s="4" t="s">
        <v>4</v>
      </c>
      <c r="E44" s="4" t="s">
        <v>5</v>
      </c>
      <c r="F44" s="4" t="s">
        <v>6</v>
      </c>
      <c r="G44" s="4" t="s">
        <v>7</v>
      </c>
      <c r="H44" s="4" t="s">
        <v>8</v>
      </c>
      <c r="I44" s="34" t="s">
        <v>9</v>
      </c>
      <c r="J44" s="34" t="s">
        <v>10</v>
      </c>
      <c r="K44" s="2" t="s">
        <v>115</v>
      </c>
      <c r="L44" s="2" t="s">
        <v>121</v>
      </c>
      <c r="M44" s="2" t="s">
        <v>123</v>
      </c>
      <c r="O44" s="6" t="s">
        <v>69</v>
      </c>
      <c r="P44" s="6"/>
      <c r="Q44" s="7">
        <v>0</v>
      </c>
      <c r="R44" s="7">
        <v>0</v>
      </c>
      <c r="S44" s="7">
        <v>0</v>
      </c>
      <c r="T44" s="7">
        <v>122.116</v>
      </c>
      <c r="U44" s="7">
        <v>148.37799999999999</v>
      </c>
      <c r="V44" s="6">
        <v>205.62</v>
      </c>
      <c r="W44" s="62">
        <v>142.875</v>
      </c>
      <c r="X44" s="62">
        <v>158.876</v>
      </c>
      <c r="Y44" s="62">
        <v>241.8</v>
      </c>
      <c r="Z44" s="62">
        <v>310.84300000000002</v>
      </c>
      <c r="AA44" s="62">
        <v>311.61399999999998</v>
      </c>
    </row>
    <row r="45" spans="2:27" x14ac:dyDescent="0.3">
      <c r="B45" s="33" t="s">
        <v>79</v>
      </c>
      <c r="C45" s="35">
        <f t="shared" ref="C45:H45" si="31">C38</f>
        <v>686.37199999999996</v>
      </c>
      <c r="D45" s="35">
        <f t="shared" si="31"/>
        <v>2127.12</v>
      </c>
      <c r="E45" s="35">
        <f t="shared" si="31"/>
        <v>1329.723</v>
      </c>
      <c r="F45" s="35">
        <f t="shared" si="31"/>
        <v>1190.2809999999999</v>
      </c>
      <c r="G45" s="35">
        <f t="shared" si="31"/>
        <v>4347.134</v>
      </c>
      <c r="H45" s="35">
        <f t="shared" si="31"/>
        <v>6722.1450000000004</v>
      </c>
      <c r="I45" s="72">
        <f>I38</f>
        <v>3036.4050000000002</v>
      </c>
      <c r="J45" s="72">
        <f>J38</f>
        <v>5570.2669999999998</v>
      </c>
      <c r="K45" s="82">
        <f>K38</f>
        <v>3416.0590000000002</v>
      </c>
      <c r="L45" s="96">
        <f>L38</f>
        <v>2463.2890000000002</v>
      </c>
      <c r="M45" s="96">
        <f>M38</f>
        <v>4163.16</v>
      </c>
      <c r="O45" s="6" t="s">
        <v>71</v>
      </c>
      <c r="P45" s="6"/>
      <c r="Q45" s="10">
        <v>314.315</v>
      </c>
      <c r="R45" s="10">
        <v>81.006</v>
      </c>
      <c r="S45" s="10">
        <v>185.81899999999999</v>
      </c>
      <c r="T45" s="10">
        <v>104.455</v>
      </c>
      <c r="U45" s="10">
        <v>152.40600000000001</v>
      </c>
      <c r="V45" s="6">
        <v>589.85</v>
      </c>
      <c r="W45" s="62">
        <v>134.495</v>
      </c>
      <c r="X45" s="62">
        <v>193.44200000000001</v>
      </c>
      <c r="Y45" s="62">
        <v>176.30600000000001</v>
      </c>
      <c r="Z45" s="62">
        <v>386.93799999999999</v>
      </c>
      <c r="AA45" s="62">
        <v>441.51499999999999</v>
      </c>
    </row>
    <row r="46" spans="2:27" x14ac:dyDescent="0.3">
      <c r="B46" s="36" t="s">
        <v>81</v>
      </c>
      <c r="C46" s="37">
        <f t="shared" ref="C46:M46" si="32">(Q16-P16)+C18</f>
        <v>262.7369999999998</v>
      </c>
      <c r="D46" s="37">
        <f t="shared" si="32"/>
        <v>176.06399999999982</v>
      </c>
      <c r="E46" s="37">
        <f t="shared" si="32"/>
        <v>211.08700000000019</v>
      </c>
      <c r="F46" s="37">
        <f t="shared" si="32"/>
        <v>475.78700000000009</v>
      </c>
      <c r="G46" s="37">
        <f t="shared" si="32"/>
        <v>164.65299999999996</v>
      </c>
      <c r="H46" s="37">
        <f t="shared" si="32"/>
        <v>249.08100000000019</v>
      </c>
      <c r="I46" s="73">
        <f t="shared" si="32"/>
        <v>2561.0990000000002</v>
      </c>
      <c r="J46" s="73">
        <f t="shared" si="32"/>
        <v>2054.4129999999996</v>
      </c>
      <c r="K46" s="73">
        <f t="shared" si="32"/>
        <v>1011.419</v>
      </c>
      <c r="L46" s="37">
        <f t="shared" si="32"/>
        <v>7585.7069999999994</v>
      </c>
      <c r="M46" s="37">
        <f>(AA16-Z16)+M18</f>
        <v>981.9600000000014</v>
      </c>
      <c r="O46" s="6" t="s">
        <v>73</v>
      </c>
      <c r="P46" s="6"/>
      <c r="Q46" s="14">
        <v>17.443999999999999</v>
      </c>
      <c r="R46" s="10">
        <v>19.254000000000001</v>
      </c>
      <c r="S46" s="10">
        <v>16</v>
      </c>
      <c r="T46" s="10">
        <v>21.364000000000001</v>
      </c>
      <c r="U46" s="10">
        <v>24.673999999999999</v>
      </c>
      <c r="V46" s="6">
        <v>26.13</v>
      </c>
      <c r="W46" s="62">
        <v>21.876999999999999</v>
      </c>
      <c r="X46" s="62">
        <v>28.603000000000002</v>
      </c>
      <c r="Y46" s="62">
        <v>39.848999999999997</v>
      </c>
      <c r="Z46" s="62">
        <v>74.989999999999995</v>
      </c>
      <c r="AA46" s="62">
        <v>90.055000000000007</v>
      </c>
    </row>
    <row r="47" spans="2:27" x14ac:dyDescent="0.3">
      <c r="B47" s="38" t="s">
        <v>83</v>
      </c>
      <c r="C47" s="39">
        <f t="shared" ref="C47:G47" si="33">C45-C46</f>
        <v>423.63500000000016</v>
      </c>
      <c r="D47" s="39">
        <f t="shared" si="33"/>
        <v>1951.056</v>
      </c>
      <c r="E47" s="39">
        <f t="shared" si="33"/>
        <v>1118.6359999999997</v>
      </c>
      <c r="F47" s="39">
        <f t="shared" si="33"/>
        <v>714.49399999999991</v>
      </c>
      <c r="G47" s="39">
        <f t="shared" si="33"/>
        <v>4182.4809999999998</v>
      </c>
      <c r="H47" s="39">
        <f t="shared" ref="H47:L47" si="34">H45-H46</f>
        <v>6473.0640000000003</v>
      </c>
      <c r="I47" s="70">
        <f t="shared" si="34"/>
        <v>475.30600000000004</v>
      </c>
      <c r="J47" s="70">
        <f t="shared" si="34"/>
        <v>3515.8540000000003</v>
      </c>
      <c r="K47" s="70">
        <f t="shared" si="34"/>
        <v>2404.6400000000003</v>
      </c>
      <c r="L47" s="39">
        <f t="shared" si="34"/>
        <v>-5122.4179999999997</v>
      </c>
      <c r="M47" s="39">
        <f>M45-M46</f>
        <v>3181.1999999999985</v>
      </c>
      <c r="O47" s="6" t="s">
        <v>75</v>
      </c>
      <c r="P47" s="6"/>
      <c r="Q47" s="7">
        <v>120.22799999999999</v>
      </c>
      <c r="R47" s="7">
        <v>18.099</v>
      </c>
      <c r="S47" s="7">
        <v>18.221</v>
      </c>
      <c r="T47" s="7">
        <v>2.641</v>
      </c>
      <c r="U47" s="7">
        <v>12.891</v>
      </c>
      <c r="V47" s="6">
        <v>0.99</v>
      </c>
      <c r="W47" s="62">
        <v>6.1189999999999998</v>
      </c>
      <c r="X47" s="62">
        <v>62.177999999999997</v>
      </c>
      <c r="Y47" s="62">
        <v>119.205</v>
      </c>
      <c r="Z47" s="62">
        <v>47.491999999999997</v>
      </c>
      <c r="AA47" s="62">
        <v>484.98599999999999</v>
      </c>
    </row>
    <row r="48" spans="2:27" x14ac:dyDescent="0.3">
      <c r="B48" s="40"/>
      <c r="C48" s="41"/>
      <c r="D48" s="41"/>
      <c r="E48" s="41"/>
      <c r="F48" s="41"/>
      <c r="G48" s="41"/>
      <c r="H48" s="41"/>
      <c r="I48" s="41"/>
      <c r="J48" s="73"/>
      <c r="K48" s="37"/>
      <c r="L48" s="37"/>
      <c r="M48" s="41"/>
      <c r="O48" s="12" t="s">
        <v>76</v>
      </c>
      <c r="P48" s="12"/>
      <c r="Q48" s="13">
        <f>Q29-Q40</f>
        <v>2770.2700000000004</v>
      </c>
      <c r="R48" s="13">
        <f t="shared" ref="R48:X48" si="35">R29-R40</f>
        <v>3422.4979999999987</v>
      </c>
      <c r="S48" s="13">
        <f t="shared" si="35"/>
        <v>3327.1790000000001</v>
      </c>
      <c r="T48" s="13">
        <f t="shared" si="35"/>
        <v>3463.9049999999997</v>
      </c>
      <c r="U48" s="13">
        <f t="shared" si="35"/>
        <v>7434.5719999999992</v>
      </c>
      <c r="V48" s="13">
        <f t="shared" si="35"/>
        <v>10401.149999999998</v>
      </c>
      <c r="W48" s="65">
        <f t="shared" si="35"/>
        <v>11862.576999999999</v>
      </c>
      <c r="X48" s="65">
        <f t="shared" si="35"/>
        <v>11040.013999999999</v>
      </c>
      <c r="Y48" s="65">
        <f>Y29-Y40</f>
        <v>9602.9090000000033</v>
      </c>
      <c r="Z48" s="65">
        <f>Z29-Z40</f>
        <v>9400.9509999999991</v>
      </c>
      <c r="AA48" s="65">
        <f>AA29-AA40</f>
        <v>11224.457</v>
      </c>
    </row>
    <row r="49" spans="2:28" x14ac:dyDescent="0.3">
      <c r="B49" s="33" t="s">
        <v>77</v>
      </c>
      <c r="C49" s="4" t="s">
        <v>3</v>
      </c>
      <c r="D49" s="4" t="s">
        <v>4</v>
      </c>
      <c r="E49" s="4" t="s">
        <v>5</v>
      </c>
      <c r="F49" s="4" t="s">
        <v>6</v>
      </c>
      <c r="G49" s="4" t="s">
        <v>7</v>
      </c>
      <c r="H49" s="4" t="s">
        <v>8</v>
      </c>
      <c r="I49" s="34" t="s">
        <v>9</v>
      </c>
      <c r="J49" s="3" t="s">
        <v>10</v>
      </c>
      <c r="K49" s="2" t="s">
        <v>115</v>
      </c>
      <c r="L49" s="2" t="s">
        <v>121</v>
      </c>
      <c r="M49" s="2" t="s">
        <v>123</v>
      </c>
      <c r="O49" s="6" t="s">
        <v>78</v>
      </c>
      <c r="P49" s="6"/>
      <c r="Q49" s="10">
        <v>26.69</v>
      </c>
      <c r="R49" s="10">
        <v>18.925999999999998</v>
      </c>
      <c r="S49" s="10">
        <v>22.594999999999999</v>
      </c>
      <c r="T49" s="10">
        <v>29.106000000000002</v>
      </c>
      <c r="U49" s="10">
        <v>36.393999999999998</v>
      </c>
      <c r="V49" s="6">
        <v>34.25</v>
      </c>
      <c r="W49" s="62">
        <v>36.200000000000003</v>
      </c>
      <c r="X49" s="62">
        <v>72.698999999999998</v>
      </c>
      <c r="Y49" s="62">
        <v>63.94</v>
      </c>
      <c r="Z49" s="62">
        <v>142.66399999999999</v>
      </c>
      <c r="AA49" s="62">
        <v>164.50899999999999</v>
      </c>
    </row>
    <row r="50" spans="2:28" x14ac:dyDescent="0.3">
      <c r="B50" s="6" t="s">
        <v>87</v>
      </c>
      <c r="C50" s="42">
        <f t="shared" ref="C50:H50" si="36">94020671*2</f>
        <v>188041342</v>
      </c>
      <c r="D50" s="42">
        <f t="shared" si="36"/>
        <v>188041342</v>
      </c>
      <c r="E50" s="42">
        <f t="shared" si="36"/>
        <v>188041342</v>
      </c>
      <c r="F50" s="42">
        <f t="shared" si="36"/>
        <v>188041342</v>
      </c>
      <c r="G50" s="42">
        <f t="shared" si="36"/>
        <v>188041342</v>
      </c>
      <c r="H50" s="42">
        <f t="shared" si="36"/>
        <v>188041342</v>
      </c>
      <c r="I50" s="66">
        <f>94020671*2</f>
        <v>188041342</v>
      </c>
      <c r="J50" s="66">
        <f>94020671*2</f>
        <v>188041342</v>
      </c>
      <c r="K50" s="83">
        <v>188041342</v>
      </c>
      <c r="L50" s="83">
        <v>188041342</v>
      </c>
      <c r="M50" s="83">
        <v>188041342</v>
      </c>
      <c r="O50" s="6" t="s">
        <v>80</v>
      </c>
      <c r="P50" s="6"/>
      <c r="Q50" s="10">
        <v>26.324999999999999</v>
      </c>
      <c r="R50" s="10">
        <v>30.798999999999999</v>
      </c>
      <c r="S50" s="10">
        <v>36.14</v>
      </c>
      <c r="T50" s="10">
        <v>34.649000000000001</v>
      </c>
      <c r="U50" s="10">
        <v>33.377000000000002</v>
      </c>
      <c r="V50" s="6">
        <v>33.14</v>
      </c>
      <c r="W50" s="62">
        <v>35.832999999999998</v>
      </c>
      <c r="X50" s="62">
        <v>41.3</v>
      </c>
      <c r="Y50" s="62">
        <v>41.8</v>
      </c>
      <c r="Z50" s="62">
        <v>39.033999999999999</v>
      </c>
      <c r="AA50" s="62">
        <v>36.767000000000003</v>
      </c>
    </row>
    <row r="51" spans="2:28" x14ac:dyDescent="0.3">
      <c r="B51" s="6" t="s">
        <v>88</v>
      </c>
      <c r="C51" s="18">
        <f t="shared" ref="C51:M51" si="37">Q58*C50/1000000</f>
        <v>28436.551943950002</v>
      </c>
      <c r="D51" s="18">
        <f t="shared" si="37"/>
        <v>30171.233323899996</v>
      </c>
      <c r="E51" s="18">
        <f t="shared" si="37"/>
        <v>21065.33133755</v>
      </c>
      <c r="F51" s="18">
        <f t="shared" si="37"/>
        <v>12194.481028699998</v>
      </c>
      <c r="G51" s="18">
        <f t="shared" si="37"/>
        <v>38205.299660849996</v>
      </c>
      <c r="H51" s="18">
        <f t="shared" si="37"/>
        <v>86931.512406599999</v>
      </c>
      <c r="I51" s="67">
        <f t="shared" si="37"/>
        <v>69744.5337478</v>
      </c>
      <c r="J51" s="67">
        <f t="shared" si="37"/>
        <v>117140.35399890001</v>
      </c>
      <c r="K51" s="67">
        <f t="shared" si="37"/>
        <v>117995.94210499999</v>
      </c>
      <c r="L51" s="62">
        <f t="shared" si="37"/>
        <v>139037.76827479998</v>
      </c>
      <c r="M51" s="62">
        <f>AA58*M50/1000000</f>
        <v>151833.98159789998</v>
      </c>
      <c r="O51" s="6" t="s">
        <v>82</v>
      </c>
      <c r="P51" s="6"/>
      <c r="Q51" s="7">
        <v>0</v>
      </c>
      <c r="R51" s="7">
        <v>0</v>
      </c>
      <c r="S51" s="7">
        <v>0</v>
      </c>
      <c r="T51" s="7">
        <v>170.71700000000001</v>
      </c>
      <c r="U51" s="7">
        <v>262.22199999999998</v>
      </c>
      <c r="V51" s="21">
        <v>166.709</v>
      </c>
      <c r="W51" s="62">
        <v>23.684999999999999</v>
      </c>
      <c r="X51" s="62">
        <v>982.56</v>
      </c>
      <c r="Y51" s="62">
        <v>1053.489</v>
      </c>
      <c r="Z51" s="62">
        <v>949.93600000000004</v>
      </c>
      <c r="AA51" s="62">
        <v>798.06000000000006</v>
      </c>
    </row>
    <row r="52" spans="2:28" x14ac:dyDescent="0.3">
      <c r="B52" s="6" t="s">
        <v>90</v>
      </c>
      <c r="C52" s="43">
        <f t="shared" ref="C52:J52" si="38">Q10</f>
        <v>0</v>
      </c>
      <c r="D52" s="43">
        <f t="shared" si="38"/>
        <v>0</v>
      </c>
      <c r="E52" s="43">
        <f t="shared" si="38"/>
        <v>0</v>
      </c>
      <c r="F52" s="43">
        <f t="shared" si="38"/>
        <v>0</v>
      </c>
      <c r="G52" s="43">
        <f t="shared" si="38"/>
        <v>0</v>
      </c>
      <c r="H52" s="43">
        <f t="shared" si="38"/>
        <v>0</v>
      </c>
      <c r="I52" s="68">
        <f t="shared" si="38"/>
        <v>0</v>
      </c>
      <c r="J52" s="68">
        <f t="shared" si="38"/>
        <v>0</v>
      </c>
      <c r="K52" s="68">
        <f>Y10</f>
        <v>0</v>
      </c>
      <c r="L52" s="97">
        <f>Z10</f>
        <v>0</v>
      </c>
      <c r="M52" s="97">
        <f>AA10</f>
        <v>51.55</v>
      </c>
      <c r="O52" s="6" t="s">
        <v>84</v>
      </c>
      <c r="P52" s="6"/>
      <c r="Q52" s="7">
        <v>478.69400000000002</v>
      </c>
      <c r="R52" s="7">
        <v>487.4</v>
      </c>
      <c r="S52" s="7">
        <v>523.30499999999995</v>
      </c>
      <c r="T52" s="7">
        <v>374.26400000000001</v>
      </c>
      <c r="U52" s="7">
        <v>356.91500000000002</v>
      </c>
      <c r="V52" s="6">
        <v>344.09</v>
      </c>
      <c r="W52" s="62">
        <v>354.072</v>
      </c>
      <c r="X52" s="62">
        <v>373.40199999999999</v>
      </c>
      <c r="Y52" s="62">
        <v>398.55</v>
      </c>
      <c r="Z52" s="62">
        <v>572</v>
      </c>
      <c r="AA52" s="62">
        <v>644.40700000000004</v>
      </c>
    </row>
    <row r="53" spans="2:28" x14ac:dyDescent="0.3">
      <c r="B53" s="6" t="s">
        <v>91</v>
      </c>
      <c r="C53" s="21">
        <f t="shared" ref="C53:K54" si="39">Q34</f>
        <v>932.61300000000006</v>
      </c>
      <c r="D53" s="21">
        <f t="shared" si="39"/>
        <v>1232.694</v>
      </c>
      <c r="E53" s="21">
        <f t="shared" si="39"/>
        <v>330.09899999999999</v>
      </c>
      <c r="F53" s="21">
        <f t="shared" si="39"/>
        <v>1709.0440000000001</v>
      </c>
      <c r="G53" s="21">
        <f t="shared" si="39"/>
        <v>660.77099999999996</v>
      </c>
      <c r="H53" s="21">
        <f t="shared" si="39"/>
        <v>2175.38</v>
      </c>
      <c r="I53" s="69">
        <f t="shared" si="39"/>
        <v>818.14499999999998</v>
      </c>
      <c r="J53" s="69">
        <f t="shared" si="39"/>
        <v>2159.145</v>
      </c>
      <c r="K53" s="84">
        <f>Y34</f>
        <v>3054.0839999999998</v>
      </c>
      <c r="L53" s="102">
        <f t="shared" ref="L53:M54" si="40">Z34</f>
        <v>2964.8119999999999</v>
      </c>
      <c r="M53" s="102">
        <f>AA34</f>
        <v>1742.6590000000001</v>
      </c>
      <c r="O53" s="12" t="s">
        <v>85</v>
      </c>
      <c r="P53" s="12"/>
      <c r="Q53" s="13">
        <f t="shared" ref="Q53:AA53" si="41">SUM(Q15+Q29)</f>
        <v>11297.085999999999</v>
      </c>
      <c r="R53" s="13">
        <f t="shared" si="41"/>
        <v>12957.521999999999</v>
      </c>
      <c r="S53" s="13">
        <f t="shared" si="41"/>
        <v>12208.66</v>
      </c>
      <c r="T53" s="13">
        <f t="shared" si="41"/>
        <v>12550.55</v>
      </c>
      <c r="U53" s="13">
        <f t="shared" si="41"/>
        <v>17553.377</v>
      </c>
      <c r="V53" s="13">
        <f t="shared" si="41"/>
        <v>22782.87</v>
      </c>
      <c r="W53" s="65">
        <f t="shared" si="41"/>
        <v>27310.194000000003</v>
      </c>
      <c r="X53" s="65">
        <f t="shared" si="41"/>
        <v>30648.291999999998</v>
      </c>
      <c r="Y53" s="65">
        <f t="shared" si="41"/>
        <v>34480.995000000003</v>
      </c>
      <c r="Z53" s="65">
        <f t="shared" si="41"/>
        <v>34667.081000000006</v>
      </c>
      <c r="AA53" s="65">
        <f>SUM(AA15+AA29)</f>
        <v>40798.800000000003</v>
      </c>
      <c r="AB53" s="56"/>
    </row>
    <row r="54" spans="2:28" x14ac:dyDescent="0.3">
      <c r="B54" s="6" t="s">
        <v>93</v>
      </c>
      <c r="C54" s="21">
        <f t="shared" si="39"/>
        <v>45.256999999999998</v>
      </c>
      <c r="D54" s="21">
        <f t="shared" si="39"/>
        <v>51.197000000000003</v>
      </c>
      <c r="E54" s="21">
        <f t="shared" si="39"/>
        <v>52.9</v>
      </c>
      <c r="F54" s="21">
        <f t="shared" si="39"/>
        <v>49.481000000000002</v>
      </c>
      <c r="G54" s="21">
        <f t="shared" si="39"/>
        <v>406.72399999999999</v>
      </c>
      <c r="H54" s="21">
        <f t="shared" si="39"/>
        <v>2299.1</v>
      </c>
      <c r="I54" s="69">
        <f t="shared" si="39"/>
        <v>2677.027</v>
      </c>
      <c r="J54" s="69">
        <f t="shared" si="39"/>
        <v>3044.547</v>
      </c>
      <c r="K54" s="84">
        <f t="shared" si="39"/>
        <v>1563.9459999999999</v>
      </c>
      <c r="L54" s="102">
        <f t="shared" si="40"/>
        <v>1362.9880000000001</v>
      </c>
      <c r="M54" s="102">
        <f>AA35</f>
        <v>2625.7</v>
      </c>
      <c r="O54" s="12" t="s">
        <v>86</v>
      </c>
      <c r="P54" s="12"/>
      <c r="Q54" s="13">
        <f t="shared" ref="Q54:Z54" si="42">SUM(Q40+Q6+Q49+Q50+Q51+Q52)</f>
        <v>11297.086000000001</v>
      </c>
      <c r="R54" s="13">
        <f t="shared" si="42"/>
        <v>12957.522000000001</v>
      </c>
      <c r="S54" s="13">
        <f t="shared" si="42"/>
        <v>12208.66</v>
      </c>
      <c r="T54" s="13">
        <f t="shared" si="42"/>
        <v>12550.549999999997</v>
      </c>
      <c r="U54" s="13">
        <f t="shared" si="42"/>
        <v>17553.377000000004</v>
      </c>
      <c r="V54" s="13">
        <f t="shared" si="42"/>
        <v>22782.909</v>
      </c>
      <c r="W54" s="65">
        <f t="shared" si="42"/>
        <v>27310.203000000009</v>
      </c>
      <c r="X54" s="65">
        <f t="shared" si="42"/>
        <v>30648.291999999994</v>
      </c>
      <c r="Y54" s="65">
        <f t="shared" si="42"/>
        <v>34481.002000000008</v>
      </c>
      <c r="Z54" s="65">
        <f t="shared" si="42"/>
        <v>34667.077999999994</v>
      </c>
      <c r="AA54" s="65">
        <f>AA12+AA49+AA50+AA51++AA52+AA40+AA8</f>
        <v>40798.800000000003</v>
      </c>
    </row>
    <row r="55" spans="2:28" x14ac:dyDescent="0.3">
      <c r="B55" s="12" t="s">
        <v>95</v>
      </c>
      <c r="C55" s="44">
        <f t="shared" ref="C55:H55" si="43">C51+C52-C53-C54</f>
        <v>27458.68194395</v>
      </c>
      <c r="D55" s="44">
        <f t="shared" si="43"/>
        <v>28887.342323899997</v>
      </c>
      <c r="E55" s="44">
        <f t="shared" si="43"/>
        <v>20682.33233755</v>
      </c>
      <c r="F55" s="44">
        <f t="shared" si="43"/>
        <v>10435.956028699999</v>
      </c>
      <c r="G55" s="44">
        <f t="shared" si="43"/>
        <v>37137.804660849994</v>
      </c>
      <c r="H55" s="44">
        <f t="shared" si="43"/>
        <v>82457.032406599988</v>
      </c>
      <c r="I55" s="44">
        <f>I51+I52-I53-I54</f>
        <v>66249.361747799994</v>
      </c>
      <c r="J55" s="80">
        <f>J51+J52-J53-J54</f>
        <v>111936.6619989</v>
      </c>
      <c r="K55" s="80">
        <f>K51+K52-K53-K54</f>
        <v>113377.912105</v>
      </c>
      <c r="L55" s="44">
        <f>L51+L52-L53-L54</f>
        <v>134709.96827479996</v>
      </c>
      <c r="M55" s="44">
        <f>M51+M52-M53-M54</f>
        <v>147517.17259789995</v>
      </c>
    </row>
    <row r="56" spans="2:28" x14ac:dyDescent="0.3">
      <c r="I56" s="46"/>
      <c r="J56" s="46"/>
      <c r="K56" s="46"/>
      <c r="L56" s="46"/>
      <c r="M56" s="46"/>
      <c r="O56" s="94" t="s">
        <v>89</v>
      </c>
      <c r="P56" s="94"/>
      <c r="Q56" s="94"/>
      <c r="R56" s="94"/>
      <c r="S56" s="94"/>
      <c r="T56" s="94"/>
      <c r="U56" s="94"/>
      <c r="V56" s="94"/>
      <c r="W56" s="94"/>
      <c r="X56" s="94"/>
      <c r="Y56" s="95"/>
    </row>
    <row r="57" spans="2:28" x14ac:dyDescent="0.3">
      <c r="I57" s="47"/>
      <c r="J57" s="47"/>
      <c r="K57" s="47"/>
      <c r="L57" s="47"/>
      <c r="M57" s="47"/>
      <c r="N57" s="99"/>
      <c r="O57" s="36"/>
      <c r="P57" s="36"/>
      <c r="Q57" s="4" t="s">
        <v>3</v>
      </c>
      <c r="R57" s="4" t="s">
        <v>4</v>
      </c>
      <c r="S57" s="4" t="s">
        <v>5</v>
      </c>
      <c r="T57" s="4" t="s">
        <v>6</v>
      </c>
      <c r="U57" s="4" t="s">
        <v>7</v>
      </c>
      <c r="V57" s="4" t="s">
        <v>8</v>
      </c>
      <c r="W57" s="4" t="s">
        <v>9</v>
      </c>
      <c r="X57" s="4" t="s">
        <v>10</v>
      </c>
      <c r="Y57" s="4" t="s">
        <v>115</v>
      </c>
      <c r="Z57" s="4" t="s">
        <v>121</v>
      </c>
      <c r="AA57" s="4" t="s">
        <v>123</v>
      </c>
    </row>
    <row r="58" spans="2:28" x14ac:dyDescent="0.3">
      <c r="I58" s="47"/>
      <c r="J58" s="47"/>
      <c r="K58" s="68"/>
      <c r="L58" s="46"/>
      <c r="M58" s="46"/>
      <c r="O58" s="89" t="s">
        <v>92</v>
      </c>
      <c r="P58" s="89"/>
      <c r="Q58" s="52">
        <f>302.45/2</f>
        <v>151.22499999999999</v>
      </c>
      <c r="R58" s="52">
        <f>320.9/2</f>
        <v>160.44999999999999</v>
      </c>
      <c r="S58" s="52">
        <f>224.05/2</f>
        <v>112.02500000000001</v>
      </c>
      <c r="T58" s="52">
        <f>129.7/2</f>
        <v>64.849999999999994</v>
      </c>
      <c r="U58" s="52">
        <f>406.35/2</f>
        <v>203.17500000000001</v>
      </c>
      <c r="V58" s="26">
        <f>924.6/2</f>
        <v>462.3</v>
      </c>
      <c r="W58" s="55">
        <v>370.9</v>
      </c>
      <c r="X58" s="55">
        <v>622.95000000000005</v>
      </c>
      <c r="Y58" s="55">
        <v>627.5</v>
      </c>
      <c r="Z58" s="55">
        <v>739.4</v>
      </c>
      <c r="AA58" s="55">
        <v>807.45</v>
      </c>
    </row>
    <row r="59" spans="2:28" x14ac:dyDescent="0.3">
      <c r="I59" s="50"/>
      <c r="J59" s="50"/>
      <c r="K59" s="50"/>
      <c r="L59" s="50"/>
      <c r="M59" s="50"/>
      <c r="O59" s="89" t="s">
        <v>94</v>
      </c>
      <c r="P59" s="89"/>
      <c r="Q59" s="52">
        <f t="shared" ref="Q59:Z59" si="44">C32</f>
        <v>18.59</v>
      </c>
      <c r="R59" s="52">
        <f t="shared" si="44"/>
        <v>12.03</v>
      </c>
      <c r="S59" s="52">
        <f t="shared" si="44"/>
        <v>5.0999999999999996</v>
      </c>
      <c r="T59" s="52">
        <f t="shared" si="44"/>
        <v>10.64</v>
      </c>
      <c r="U59" s="52">
        <f t="shared" si="44"/>
        <v>50.63</v>
      </c>
      <c r="V59" s="52">
        <f t="shared" si="44"/>
        <v>35.270000000000003</v>
      </c>
      <c r="W59" s="59">
        <f t="shared" si="44"/>
        <v>26.49</v>
      </c>
      <c r="X59" s="59">
        <f t="shared" si="44"/>
        <v>18.43</v>
      </c>
      <c r="Y59" s="59">
        <f t="shared" si="44"/>
        <v>20.77</v>
      </c>
      <c r="Z59" s="59">
        <f t="shared" si="44"/>
        <v>17.41</v>
      </c>
      <c r="AA59" s="59">
        <f>Z59+M32-6.92</f>
        <v>28.229999999999997</v>
      </c>
      <c r="AB59" t="s">
        <v>122</v>
      </c>
    </row>
    <row r="60" spans="2:28" x14ac:dyDescent="0.3">
      <c r="O60" s="89" t="s">
        <v>96</v>
      </c>
      <c r="P60" s="89"/>
      <c r="Q60" s="45">
        <f t="shared" ref="Q60:AA60" si="45">Q6*1000000/C50</f>
        <v>30.955974564359369</v>
      </c>
      <c r="R60" s="45">
        <f t="shared" si="45"/>
        <v>34.332386332363015</v>
      </c>
      <c r="S60" s="45">
        <f t="shared" si="45"/>
        <v>34.164237138873432</v>
      </c>
      <c r="T60" s="45">
        <f t="shared" si="45"/>
        <v>35.804738087861551</v>
      </c>
      <c r="U60" s="45">
        <f t="shared" si="45"/>
        <v>56.628228062741648</v>
      </c>
      <c r="V60" s="45">
        <f t="shared" si="45"/>
        <v>80.600998901613877</v>
      </c>
      <c r="W60" s="58">
        <f t="shared" si="45"/>
        <v>98.056415700330433</v>
      </c>
      <c r="X60" s="58">
        <f t="shared" si="45"/>
        <v>107.37599394499108</v>
      </c>
      <c r="Y60" s="58">
        <f t="shared" si="45"/>
        <v>118.65945947141773</v>
      </c>
      <c r="Z60" s="58">
        <f t="shared" si="45"/>
        <v>126.04762733505697</v>
      </c>
      <c r="AA60" s="58">
        <f>AA6*1000000/M50</f>
        <v>136.00190643183134</v>
      </c>
    </row>
    <row r="61" spans="2:28" x14ac:dyDescent="0.3">
      <c r="O61" s="89" t="s">
        <v>97</v>
      </c>
      <c r="P61" s="26"/>
      <c r="Q61" s="48">
        <v>4.5</v>
      </c>
      <c r="R61" s="48">
        <v>4.5</v>
      </c>
      <c r="S61" s="48">
        <v>3</v>
      </c>
      <c r="T61" s="48">
        <v>5.5</v>
      </c>
      <c r="U61" s="48">
        <v>15</v>
      </c>
      <c r="V61" s="48">
        <v>18</v>
      </c>
      <c r="W61" s="90">
        <v>11</v>
      </c>
      <c r="X61" s="91">
        <v>9</v>
      </c>
      <c r="Y61" s="91">
        <v>10</v>
      </c>
      <c r="Z61" s="91">
        <v>11</v>
      </c>
      <c r="AA61" s="58">
        <v>2.5</v>
      </c>
    </row>
    <row r="62" spans="2:28" x14ac:dyDescent="0.3">
      <c r="E62" t="s">
        <v>104</v>
      </c>
      <c r="O62" s="89" t="s">
        <v>98</v>
      </c>
      <c r="P62" s="89"/>
      <c r="Q62" s="48">
        <f t="shared" ref="Q62:V62" si="46">Q58/Q59</f>
        <v>8.1347498655190957</v>
      </c>
      <c r="R62" s="48">
        <f t="shared" si="46"/>
        <v>13.337489609310058</v>
      </c>
      <c r="S62" s="48">
        <f t="shared" si="46"/>
        <v>21.965686274509807</v>
      </c>
      <c r="T62" s="48">
        <f t="shared" si="46"/>
        <v>6.0949248120300741</v>
      </c>
      <c r="U62" s="48">
        <f t="shared" si="46"/>
        <v>4.0129369938771475</v>
      </c>
      <c r="V62" s="48">
        <f t="shared" si="46"/>
        <v>13.107456762120782</v>
      </c>
      <c r="W62" s="59">
        <f>W58/W59</f>
        <v>14.00151000377501</v>
      </c>
      <c r="X62" s="59">
        <f>X58/X59</f>
        <v>33.800868149755836</v>
      </c>
      <c r="Y62" s="59">
        <f>Y58/Y59</f>
        <v>30.211844005777564</v>
      </c>
      <c r="Z62" s="59">
        <f>Z58/Z59</f>
        <v>42.469844916714528</v>
      </c>
      <c r="AA62" s="59">
        <f>AA58/AA59</f>
        <v>28.60255047821467</v>
      </c>
    </row>
    <row r="63" spans="2:28" x14ac:dyDescent="0.3">
      <c r="O63" s="89" t="s">
        <v>99</v>
      </c>
      <c r="P63" s="89"/>
      <c r="Q63" s="49">
        <f t="shared" ref="Q63:V63" si="47">Q58/Q60</f>
        <v>4.8851635953374348</v>
      </c>
      <c r="R63" s="49">
        <f t="shared" si="47"/>
        <v>4.6734298759988526</v>
      </c>
      <c r="S63" s="49">
        <f t="shared" si="47"/>
        <v>3.2790136523356903</v>
      </c>
      <c r="T63" s="49">
        <f t="shared" si="47"/>
        <v>1.8112128020840155</v>
      </c>
      <c r="U63" s="49">
        <f t="shared" si="47"/>
        <v>3.5878749335912619</v>
      </c>
      <c r="V63" s="49">
        <f t="shared" si="47"/>
        <v>5.7356609260427334</v>
      </c>
      <c r="W63" s="60">
        <f>W58/W60</f>
        <v>3.7825163947813984</v>
      </c>
      <c r="X63" s="60">
        <f>X58/X60</f>
        <v>5.8015760982770361</v>
      </c>
      <c r="Y63" s="60">
        <f>Y58/Y60</f>
        <v>5.2882425286215797</v>
      </c>
      <c r="Z63" s="60">
        <f>Z58/Z60</f>
        <v>5.866036637362031</v>
      </c>
      <c r="AA63" s="60">
        <f>AA58/AA60</f>
        <v>5.9370491280923385</v>
      </c>
    </row>
    <row r="64" spans="2:28" x14ac:dyDescent="0.3">
      <c r="O64" s="89" t="s">
        <v>100</v>
      </c>
      <c r="P64" s="89"/>
      <c r="Q64" s="48">
        <f t="shared" ref="Q64:Z64" si="48">C55/C14</f>
        <v>9.236732725353793</v>
      </c>
      <c r="R64" s="48">
        <f t="shared" si="48"/>
        <v>14.719289864665845</v>
      </c>
      <c r="S64" s="48">
        <f t="shared" si="48"/>
        <v>22.154498781586437</v>
      </c>
      <c r="T64" s="48">
        <f t="shared" si="48"/>
        <v>7.0278164441227107</v>
      </c>
      <c r="U64" s="48">
        <f t="shared" si="48"/>
        <v>5.5518471613270197</v>
      </c>
      <c r="V64" s="48">
        <f t="shared" si="48"/>
        <v>9.1219363811756917</v>
      </c>
      <c r="W64" s="48">
        <f t="shared" si="48"/>
        <v>10.079129420737349</v>
      </c>
      <c r="X64" s="48">
        <f t="shared" si="48"/>
        <v>23.980444450302517</v>
      </c>
      <c r="Y64" s="48">
        <f t="shared" si="48"/>
        <v>21.286945557136569</v>
      </c>
      <c r="Z64" s="48">
        <f t="shared" si="48"/>
        <v>26.169125179557039</v>
      </c>
      <c r="AA64" s="58" t="s">
        <v>101</v>
      </c>
    </row>
    <row r="65" spans="3:27" x14ac:dyDescent="0.3">
      <c r="O65" s="89" t="s">
        <v>102</v>
      </c>
      <c r="P65" s="89"/>
      <c r="Q65" s="51">
        <f t="shared" ref="Q65:Z65" si="49">C23/Q6</f>
        <v>0.30821664238963625</v>
      </c>
      <c r="R65" s="51">
        <f t="shared" si="49"/>
        <v>0.17985076615094317</v>
      </c>
      <c r="S65" s="51">
        <f t="shared" si="49"/>
        <v>7.6590576793789819E-2</v>
      </c>
      <c r="T65" s="51">
        <f t="shared" si="49"/>
        <v>0.15246619853846166</v>
      </c>
      <c r="U65" s="51">
        <f t="shared" si="49"/>
        <v>0.44842309414479931</v>
      </c>
      <c r="V65" s="51">
        <f t="shared" si="49"/>
        <v>0.43761684894486297</v>
      </c>
      <c r="W65" s="51">
        <f t="shared" si="49"/>
        <v>0.26970528227105411</v>
      </c>
      <c r="X65" s="51">
        <f t="shared" si="49"/>
        <v>0.17160429784847062</v>
      </c>
      <c r="Y65" s="51">
        <f t="shared" si="49"/>
        <v>0.17502210830298839</v>
      </c>
      <c r="Z65" s="51">
        <f t="shared" si="49"/>
        <v>0.1380918156632526</v>
      </c>
      <c r="AA65" s="58" t="s">
        <v>101</v>
      </c>
    </row>
    <row r="66" spans="3:27" x14ac:dyDescent="0.3">
      <c r="O66" s="89" t="s">
        <v>103</v>
      </c>
      <c r="P66" s="89"/>
      <c r="Q66" s="51">
        <f t="shared" ref="Q66:Z66" si="50">(C21+C19)/Q11</f>
        <v>0.44477067431988104</v>
      </c>
      <c r="R66" s="51">
        <f t="shared" si="50"/>
        <v>0.26244549396520839</v>
      </c>
      <c r="S66" s="51">
        <f t="shared" si="50"/>
        <v>0.11427239571535952</v>
      </c>
      <c r="T66" s="51">
        <f t="shared" si="50"/>
        <v>0.16942842934018823</v>
      </c>
      <c r="U66" s="51">
        <f t="shared" si="50"/>
        <v>0.57426264113078918</v>
      </c>
      <c r="V66" s="51">
        <f t="shared" si="50"/>
        <v>0.56728309729906445</v>
      </c>
      <c r="W66" s="51">
        <f t="shared" si="50"/>
        <v>0.35451596081203035</v>
      </c>
      <c r="X66" s="51">
        <f t="shared" si="50"/>
        <v>0.21948940050884796</v>
      </c>
      <c r="Y66" s="51">
        <f t="shared" si="50"/>
        <v>0.22531477236304737</v>
      </c>
      <c r="Z66" s="51">
        <f t="shared" si="50"/>
        <v>0.17986767509260376</v>
      </c>
      <c r="AA66" s="58" t="s">
        <v>101</v>
      </c>
    </row>
    <row r="67" spans="3:27" x14ac:dyDescent="0.3">
      <c r="O67" s="89" t="s">
        <v>105</v>
      </c>
      <c r="P67" s="89"/>
      <c r="Q67" s="52">
        <f t="shared" ref="Q67:AA67" si="51">Q10/Q6</f>
        <v>0</v>
      </c>
      <c r="R67" s="52">
        <f t="shared" si="51"/>
        <v>0</v>
      </c>
      <c r="S67" s="52">
        <f t="shared" si="51"/>
        <v>0</v>
      </c>
      <c r="T67" s="52">
        <f t="shared" si="51"/>
        <v>0</v>
      </c>
      <c r="U67" s="52">
        <f t="shared" si="51"/>
        <v>0</v>
      </c>
      <c r="V67" s="52">
        <f t="shared" si="51"/>
        <v>0</v>
      </c>
      <c r="W67" s="52">
        <f t="shared" si="51"/>
        <v>0</v>
      </c>
      <c r="X67" s="52">
        <f t="shared" si="51"/>
        <v>0</v>
      </c>
      <c r="Y67" s="52">
        <f t="shared" si="51"/>
        <v>0</v>
      </c>
      <c r="Z67" s="52">
        <f t="shared" si="51"/>
        <v>0</v>
      </c>
      <c r="AA67" s="52">
        <f t="shared" si="51"/>
        <v>2.0157205872640633E-3</v>
      </c>
    </row>
    <row r="68" spans="3:27" x14ac:dyDescent="0.3">
      <c r="O68" s="89" t="s">
        <v>106</v>
      </c>
      <c r="P68" s="89"/>
      <c r="Q68" s="52">
        <f t="shared" ref="Q68:AA68" si="52">(Q10-SUM(Q32,Q34:Q35))/Q6</f>
        <v>-0.16798994949839399</v>
      </c>
      <c r="R68" s="52">
        <f t="shared" si="52"/>
        <v>-0.37019068425386492</v>
      </c>
      <c r="S68" s="52">
        <f t="shared" si="52"/>
        <v>-0.4500046619945024</v>
      </c>
      <c r="T68" s="52">
        <f t="shared" si="52"/>
        <v>-0.4614223475000116</v>
      </c>
      <c r="U68" s="52">
        <f t="shared" si="52"/>
        <v>-0.54189361679749015</v>
      </c>
      <c r="V68" s="52">
        <f t="shared" si="52"/>
        <v>-0.61442091483948613</v>
      </c>
      <c r="W68" s="52">
        <f t="shared" si="52"/>
        <v>-0.49464977389897086</v>
      </c>
      <c r="X68" s="52">
        <f t="shared" si="52"/>
        <v>-0.54091336956641256</v>
      </c>
      <c r="Y68" s="52">
        <f t="shared" si="52"/>
        <v>-0.39968078532564411</v>
      </c>
      <c r="Z68" s="52">
        <f t="shared" si="52"/>
        <v>-0.30358956660710112</v>
      </c>
      <c r="AA68" s="52">
        <f t="shared" si="52"/>
        <v>-0.34975098323565662</v>
      </c>
    </row>
    <row r="69" spans="3:27" x14ac:dyDescent="0.3">
      <c r="O69" s="89" t="s">
        <v>107</v>
      </c>
      <c r="P69" s="26"/>
      <c r="Q69" s="27">
        <f>Q61/Q58</f>
        <v>2.9756984625557946E-2</v>
      </c>
      <c r="R69" s="27">
        <f t="shared" ref="R69:V69" si="53">R61/R58</f>
        <v>2.8046120286693677E-2</v>
      </c>
      <c r="S69" s="27">
        <f t="shared" si="53"/>
        <v>2.6779736665922784E-2</v>
      </c>
      <c r="T69" s="27">
        <f t="shared" si="53"/>
        <v>8.4811102544333078E-2</v>
      </c>
      <c r="U69" s="27">
        <f t="shared" si="53"/>
        <v>7.3827980804724982E-2</v>
      </c>
      <c r="V69" s="27">
        <f t="shared" si="53"/>
        <v>3.8935756002595717E-2</v>
      </c>
      <c r="W69" s="27">
        <f>W61/W58</f>
        <v>2.9657589646805069E-2</v>
      </c>
      <c r="X69" s="27">
        <f>X61/X58</f>
        <v>1.4447387430772934E-2</v>
      </c>
      <c r="Y69" s="27">
        <f>Y61/Y58</f>
        <v>1.5936254980079681E-2</v>
      </c>
      <c r="Z69" s="27">
        <f>Z61/Z58</f>
        <v>1.4876927238301326E-2</v>
      </c>
      <c r="AA69" s="27">
        <f>AA61/AA58</f>
        <v>3.0961669453216916E-3</v>
      </c>
    </row>
    <row r="70" spans="3:27" x14ac:dyDescent="0.3">
      <c r="O70" s="89" t="s">
        <v>108</v>
      </c>
      <c r="P70" s="89"/>
      <c r="Q70" s="53">
        <f t="shared" ref="Q70:Z70" si="54">AVERAGE(P33:Q33)/C4*365</f>
        <v>33.395698376113899</v>
      </c>
      <c r="R70" s="53">
        <f t="shared" si="54"/>
        <v>35.431777868696663</v>
      </c>
      <c r="S70" s="53">
        <f t="shared" si="54"/>
        <v>33.139578922451776</v>
      </c>
      <c r="T70" s="53">
        <f t="shared" si="54"/>
        <v>35.690955934580039</v>
      </c>
      <c r="U70" s="53">
        <f t="shared" si="54"/>
        <v>36.178232918033935</v>
      </c>
      <c r="V70" s="53">
        <f t="shared" si="54"/>
        <v>28.835599733926649</v>
      </c>
      <c r="W70" s="53">
        <f t="shared" si="54"/>
        <v>26.718984844676058</v>
      </c>
      <c r="X70" s="53">
        <f t="shared" si="54"/>
        <v>26.307133457145248</v>
      </c>
      <c r="Y70" s="53">
        <f t="shared" si="54"/>
        <v>23.881841571151003</v>
      </c>
      <c r="Z70" s="53">
        <f t="shared" si="54"/>
        <v>30.666542509701923</v>
      </c>
      <c r="AA70" s="58" t="s">
        <v>101</v>
      </c>
    </row>
    <row r="71" spans="3:27" ht="14.4" hidden="1" customHeight="1" x14ac:dyDescent="0.3">
      <c r="C71" s="56">
        <f t="shared" ref="C71:H71" si="55">Q29-Q40</f>
        <v>2770.2700000000004</v>
      </c>
      <c r="D71" s="56">
        <f t="shared" si="55"/>
        <v>3422.4979999999987</v>
      </c>
      <c r="E71" s="56">
        <f t="shared" si="55"/>
        <v>3327.1790000000001</v>
      </c>
      <c r="F71" s="56">
        <f t="shared" si="55"/>
        <v>3463.9049999999997</v>
      </c>
      <c r="G71" s="56">
        <f t="shared" si="55"/>
        <v>7434.5719999999992</v>
      </c>
      <c r="H71" s="56">
        <f t="shared" si="55"/>
        <v>10401.149999999998</v>
      </c>
      <c r="I71" s="56"/>
      <c r="J71" s="56"/>
      <c r="K71" s="56"/>
      <c r="L71" s="56"/>
      <c r="M71" s="56"/>
      <c r="O71" s="26" t="s">
        <v>109</v>
      </c>
      <c r="P71" s="26"/>
      <c r="Q71" s="53">
        <f t="shared" ref="Q71:Z71" si="56">(AVERAGE(P42:Q42)/C7)*365</f>
        <v>52.80295904104802</v>
      </c>
      <c r="R71" s="53">
        <f t="shared" si="56"/>
        <v>63.040331533037246</v>
      </c>
      <c r="S71" s="53">
        <f t="shared" si="56"/>
        <v>61.613891978941119</v>
      </c>
      <c r="T71" s="53">
        <f t="shared" si="56"/>
        <v>67.330394739396283</v>
      </c>
      <c r="U71" s="53">
        <f t="shared" si="56"/>
        <v>75.771176892552191</v>
      </c>
      <c r="V71" s="53">
        <f t="shared" si="56"/>
        <v>48.382891740108363</v>
      </c>
      <c r="W71" s="53">
        <f t="shared" si="56"/>
        <v>51.556530002879967</v>
      </c>
      <c r="X71" s="53">
        <f t="shared" si="56"/>
        <v>60.65851585074104</v>
      </c>
      <c r="Y71" s="53">
        <f t="shared" si="56"/>
        <v>57.722427118033139</v>
      </c>
      <c r="Z71" s="53">
        <f t="shared" si="56"/>
        <v>64.850275059053473</v>
      </c>
      <c r="AA71" s="58" t="s">
        <v>101</v>
      </c>
    </row>
    <row r="72" spans="3:27" x14ac:dyDescent="0.3">
      <c r="O72" s="26" t="s">
        <v>110</v>
      </c>
      <c r="P72" s="26"/>
      <c r="Q72" s="53">
        <f t="shared" ref="Q72:Z72" si="57">(AVERAGE(P30:Q30)/C7)*365</f>
        <v>30.466562579221794</v>
      </c>
      <c r="R72" s="53">
        <f t="shared" si="57"/>
        <v>38.83129643672055</v>
      </c>
      <c r="S72" s="53">
        <f t="shared" si="57"/>
        <v>32.839906274925802</v>
      </c>
      <c r="T72" s="53">
        <f t="shared" si="57"/>
        <v>35.673157915170329</v>
      </c>
      <c r="U72" s="53">
        <f t="shared" si="57"/>
        <v>41.793790648366908</v>
      </c>
      <c r="V72" s="53">
        <f t="shared" si="57"/>
        <v>27.344490458474208</v>
      </c>
      <c r="W72" s="53">
        <f t="shared" si="57"/>
        <v>37.355517886494695</v>
      </c>
      <c r="X72" s="53">
        <f t="shared" si="57"/>
        <v>42.990166145774332</v>
      </c>
      <c r="Y72" s="53">
        <f t="shared" si="57"/>
        <v>39.267204787258805</v>
      </c>
      <c r="Z72" s="53">
        <f t="shared" si="57"/>
        <v>49.756600823333116</v>
      </c>
      <c r="AA72" s="58" t="s">
        <v>101</v>
      </c>
    </row>
    <row r="73" spans="3:27" x14ac:dyDescent="0.3">
      <c r="O73" s="26" t="s">
        <v>111</v>
      </c>
      <c r="P73" s="26"/>
      <c r="Q73" s="53">
        <f>Q70+Q72-Q71</f>
        <v>11.059301914287673</v>
      </c>
      <c r="R73" s="53">
        <f>R70+R72-R71</f>
        <v>11.222742772379959</v>
      </c>
      <c r="S73" s="53">
        <f t="shared" ref="S73:V73" si="58">S70+S72-S71</f>
        <v>4.3655932184364659</v>
      </c>
      <c r="T73" s="53">
        <f t="shared" si="58"/>
        <v>4.0337191103540846</v>
      </c>
      <c r="U73" s="53">
        <f t="shared" si="58"/>
        <v>2.200846673848659</v>
      </c>
      <c r="V73" s="53">
        <f t="shared" si="58"/>
        <v>7.7971984522924913</v>
      </c>
      <c r="W73" s="53">
        <f>W70+W72-W71</f>
        <v>12.517972728290786</v>
      </c>
      <c r="X73" s="53">
        <f>X70+X72-X71</f>
        <v>8.63878375217854</v>
      </c>
      <c r="Y73" s="53">
        <f>Y70+Y72-Y71</f>
        <v>5.4266192403766667</v>
      </c>
      <c r="Z73" s="53">
        <f>Z70+Z72-Z71</f>
        <v>15.57286827398157</v>
      </c>
      <c r="AA73" s="58" t="s">
        <v>101</v>
      </c>
    </row>
    <row r="74" spans="3:27" x14ac:dyDescent="0.3">
      <c r="O74" s="89" t="s">
        <v>112</v>
      </c>
      <c r="P74" s="89"/>
      <c r="Q74" s="54">
        <f t="shared" ref="Q74:Z74" si="59">C4/(AVERAGE(P16:Q16))</f>
        <v>9.6483492451898822</v>
      </c>
      <c r="R74" s="54">
        <f t="shared" si="59"/>
        <v>9.2990295979660296</v>
      </c>
      <c r="S74" s="54">
        <f t="shared" si="59"/>
        <v>9.6443381442701259</v>
      </c>
      <c r="T74" s="54">
        <f t="shared" si="59"/>
        <v>8.1114606208967146</v>
      </c>
      <c r="U74" s="54">
        <f t="shared" si="59"/>
        <v>9.6436536907236849</v>
      </c>
      <c r="V74" s="54">
        <f t="shared" si="59"/>
        <v>16.208301111356253</v>
      </c>
      <c r="W74" s="54">
        <f t="shared" si="59"/>
        <v>12.998384545526511</v>
      </c>
      <c r="X74" s="54">
        <f t="shared" si="59"/>
        <v>8.9879291120840783</v>
      </c>
      <c r="Y74" s="54">
        <f t="shared" si="59"/>
        <v>8.9358681846459955</v>
      </c>
      <c r="Z74" s="54">
        <f t="shared" si="59"/>
        <v>5.2112474385624727</v>
      </c>
      <c r="AA74" s="58" t="s">
        <v>101</v>
      </c>
    </row>
    <row r="75" spans="3:27" x14ac:dyDescent="0.3">
      <c r="O75" s="89" t="s">
        <v>113</v>
      </c>
      <c r="P75" s="89"/>
      <c r="Q75" s="55" t="s">
        <v>101</v>
      </c>
      <c r="R75" s="55" t="s">
        <v>101</v>
      </c>
      <c r="S75" s="55" t="s">
        <v>101</v>
      </c>
      <c r="T75" s="55" t="s">
        <v>101</v>
      </c>
      <c r="U75" s="55" t="s">
        <v>101</v>
      </c>
      <c r="V75" s="55" t="s">
        <v>101</v>
      </c>
      <c r="W75" s="61" t="s">
        <v>101</v>
      </c>
      <c r="X75" s="61" t="s">
        <v>101</v>
      </c>
      <c r="Y75" s="85" t="s">
        <v>101</v>
      </c>
      <c r="Z75" s="85" t="s">
        <v>101</v>
      </c>
      <c r="AA75" s="58" t="s">
        <v>101</v>
      </c>
    </row>
    <row r="76" spans="3:27" x14ac:dyDescent="0.3">
      <c r="O76" s="92" t="s">
        <v>114</v>
      </c>
      <c r="P76" s="92"/>
      <c r="Q76" s="93">
        <f t="shared" ref="Q76:AA76" si="60">(AVERAGE(P48:Q48)/C4)*365</f>
        <v>31.438282907331011</v>
      </c>
      <c r="R76" s="93">
        <f t="shared" si="60"/>
        <v>36.409153026149198</v>
      </c>
      <c r="S76" s="93">
        <f t="shared" si="60"/>
        <v>38.568906580424731</v>
      </c>
      <c r="T76" s="93">
        <f t="shared" si="60"/>
        <v>45.494176551668446</v>
      </c>
      <c r="U76" s="93">
        <f t="shared" si="60"/>
        <v>62.444729907835431</v>
      </c>
      <c r="V76" s="93">
        <f t="shared" si="60"/>
        <v>64.682579818526577</v>
      </c>
      <c r="W76" s="93">
        <f t="shared" si="60"/>
        <v>76.848361431892357</v>
      </c>
      <c r="X76" s="93">
        <f t="shared" si="60"/>
        <v>79.563078697975442</v>
      </c>
      <c r="Y76" s="93">
        <f t="shared" si="60"/>
        <v>62.54522294244596</v>
      </c>
      <c r="Z76" s="93">
        <f t="shared" si="60"/>
        <v>64.967069650427533</v>
      </c>
      <c r="AA76" s="58" t="s">
        <v>101</v>
      </c>
    </row>
  </sheetData>
  <mergeCells count="3">
    <mergeCell ref="O2:X2"/>
    <mergeCell ref="B2:K2"/>
    <mergeCell ref="B1:AA1"/>
  </mergeCells>
  <phoneticPr fontId="7" type="noConversion"/>
  <pageMargins left="0.7" right="0.7" top="0.75" bottom="0.75" header="0.3" footer="0.3"/>
  <pageSetup orientation="portrait" r:id="rId1"/>
  <ignoredErrors>
    <ignoredError sqref="Q71:Z72 Q70:Y7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Sheet1</vt:lpstr>
      <vt:lpstr>Chart1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2024-05-14T11:12:31Z</dcterms:created>
  <dcterms:modified xsi:type="dcterms:W3CDTF">2026-10-26T06:47:17Z</dcterms:modified>
</cp:coreProperties>
</file>