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DBF1F71A-BCAB-46FE-A207-3B1D277856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olidated" sheetId="1" r:id="rId1"/>
  </sheets>
  <definedNames>
    <definedName name="_xlnm.Print_Area" localSheetId="0">Consolidated!$A$1:$G$85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8" i="1" l="1"/>
  <c r="I58" i="1"/>
  <c r="J58" i="1"/>
  <c r="K55" i="1"/>
  <c r="E9" i="1"/>
  <c r="K66" i="1"/>
  <c r="J66" i="1"/>
  <c r="I66" i="1"/>
  <c r="H66" i="1"/>
  <c r="K61" i="1"/>
  <c r="K60" i="1"/>
  <c r="E20" i="1"/>
  <c r="J60" i="1"/>
  <c r="I60" i="1"/>
  <c r="B7" i="1"/>
  <c r="C7" i="1"/>
  <c r="D7" i="1"/>
  <c r="E7" i="1"/>
  <c r="D8" i="1"/>
  <c r="J9" i="1" l="1"/>
  <c r="J36" i="1"/>
  <c r="J28" i="1" s="1"/>
  <c r="J47" i="1" s="1"/>
  <c r="K9" i="1"/>
  <c r="B44" i="1"/>
  <c r="B49" i="1"/>
  <c r="C49" i="1"/>
  <c r="H42" i="1"/>
  <c r="H37" i="1" s="1"/>
  <c r="H8" i="1"/>
  <c r="I8" i="1"/>
  <c r="I42" i="1"/>
  <c r="I37" i="1" s="1"/>
  <c r="I9" i="1"/>
  <c r="H9" i="1"/>
  <c r="D44" i="1"/>
  <c r="E44" i="1"/>
  <c r="D39" i="1"/>
  <c r="E39" i="1"/>
  <c r="E30" i="1"/>
  <c r="E50" i="1"/>
  <c r="D49" i="1"/>
  <c r="E49" i="1"/>
  <c r="J8" i="1"/>
  <c r="J62" i="1" s="1"/>
  <c r="K17" i="1"/>
  <c r="J17" i="1"/>
  <c r="J42" i="1"/>
  <c r="J37" i="1" s="1"/>
  <c r="K42" i="1"/>
  <c r="K37" i="1" s="1"/>
  <c r="E31" i="1"/>
  <c r="K8" i="1"/>
  <c r="K62" i="1" s="1"/>
  <c r="B10" i="1"/>
  <c r="B14" i="1" s="1"/>
  <c r="C10" i="1"/>
  <c r="C14" i="1" s="1"/>
  <c r="C20" i="1" s="1"/>
  <c r="C23" i="1" s="1"/>
  <c r="D10" i="1"/>
  <c r="D14" i="1" s="1"/>
  <c r="D17" i="1" s="1"/>
  <c r="E10" i="1"/>
  <c r="E14" i="1" s="1"/>
  <c r="I17" i="1"/>
  <c r="H28" i="1"/>
  <c r="I28" i="1"/>
  <c r="I47" i="1" s="1"/>
  <c r="C30" i="1"/>
  <c r="D30" i="1"/>
  <c r="B39" i="1"/>
  <c r="C39" i="1"/>
  <c r="B43" i="1"/>
  <c r="C43" i="1"/>
  <c r="D43" i="1"/>
  <c r="E43" i="1"/>
  <c r="E45" i="1" s="1"/>
  <c r="C44" i="1"/>
  <c r="B50" i="1"/>
  <c r="C50" i="1"/>
  <c r="D50" i="1"/>
  <c r="K54" i="1"/>
  <c r="I48" i="1" l="1"/>
  <c r="C51" i="1"/>
  <c r="B51" i="1"/>
  <c r="H48" i="1"/>
  <c r="J16" i="1"/>
  <c r="J48" i="1"/>
  <c r="C26" i="1"/>
  <c r="J61" i="1"/>
  <c r="D40" i="1"/>
  <c r="E35" i="1" s="1"/>
  <c r="E40" i="1" s="1"/>
  <c r="K48" i="1"/>
  <c r="B40" i="1"/>
  <c r="C35" i="1" s="1"/>
  <c r="C40" i="1" s="1"/>
  <c r="D35" i="1" s="1"/>
  <c r="K28" i="1"/>
  <c r="D45" i="1"/>
  <c r="E8" i="1"/>
  <c r="E16" i="1"/>
  <c r="E51" i="1"/>
  <c r="E15" i="1"/>
  <c r="D15" i="1"/>
  <c r="B45" i="1"/>
  <c r="C45" i="1"/>
  <c r="H47" i="1"/>
  <c r="H16" i="1" s="1"/>
  <c r="B20" i="1"/>
  <c r="B22" i="1" s="1"/>
  <c r="B17" i="1"/>
  <c r="C15" i="1"/>
  <c r="D51" i="1"/>
  <c r="I16" i="1"/>
  <c r="C17" i="1"/>
  <c r="D20" i="1"/>
  <c r="C24" i="1"/>
  <c r="E17" i="1"/>
  <c r="C22" i="1"/>
  <c r="C8" i="1"/>
  <c r="H17" i="1"/>
  <c r="K47" i="1" l="1"/>
  <c r="K16" i="1" s="1"/>
  <c r="E22" i="1"/>
  <c r="E23" i="1"/>
  <c r="B23" i="1"/>
  <c r="D23" i="1"/>
  <c r="D22" i="1"/>
  <c r="K58" i="1"/>
  <c r="E26" i="1" l="1"/>
  <c r="E28" i="1"/>
  <c r="E27" i="1"/>
  <c r="D26" i="1"/>
  <c r="D27" i="1"/>
  <c r="B24" i="1"/>
  <c r="B26" i="1"/>
  <c r="C27" i="1"/>
  <c r="E24" i="1"/>
  <c r="D24" i="1"/>
  <c r="I61" i="1"/>
  <c r="I62" i="1"/>
  <c r="K59" i="1"/>
  <c r="J55" i="1"/>
  <c r="J54" i="1"/>
  <c r="I54" i="1" l="1"/>
  <c r="J59" i="1" l="1"/>
  <c r="I55" i="1" l="1"/>
  <c r="H54" i="1" l="1"/>
  <c r="H61" i="1" l="1"/>
  <c r="H62" i="1"/>
  <c r="H55" i="1"/>
  <c r="I59" i="1"/>
</calcChain>
</file>

<file path=xl/sharedStrings.xml><?xml version="1.0" encoding="utf-8"?>
<sst xmlns="http://schemas.openxmlformats.org/spreadsheetml/2006/main" count="148" uniqueCount="109">
  <si>
    <t>Income Statement</t>
  </si>
  <si>
    <t>Balance Sheet</t>
  </si>
  <si>
    <t>Y/E, Mar (Rs. mn)</t>
  </si>
  <si>
    <t>Income</t>
  </si>
  <si>
    <t>Share Capital</t>
  </si>
  <si>
    <t>Other Income</t>
  </si>
  <si>
    <t>Total Income</t>
  </si>
  <si>
    <t>Networth/Shareholders Fund/ Book Value</t>
  </si>
  <si>
    <t>Growth (%)</t>
  </si>
  <si>
    <t>CAGR (%) - 3years</t>
  </si>
  <si>
    <t>Financial Liabilities</t>
  </si>
  <si>
    <t>Expenditure</t>
  </si>
  <si>
    <t>Provisions</t>
  </si>
  <si>
    <t>Employee benefit expenses</t>
  </si>
  <si>
    <t>Capital Employed</t>
  </si>
  <si>
    <t>EBITDA</t>
  </si>
  <si>
    <t>EBITDA margin (%)</t>
  </si>
  <si>
    <t>Depreciation</t>
  </si>
  <si>
    <t>Interest</t>
  </si>
  <si>
    <t>Right of use assets</t>
  </si>
  <si>
    <t>Other Intangible Assets</t>
  </si>
  <si>
    <t>PBT</t>
  </si>
  <si>
    <t>Deffered Tax (Net)</t>
  </si>
  <si>
    <t>Tax</t>
  </si>
  <si>
    <t>Effective tax rate (%)</t>
  </si>
  <si>
    <t>PAT</t>
  </si>
  <si>
    <t>PAT margin (%)</t>
  </si>
  <si>
    <t>Other Comprehensive Income</t>
  </si>
  <si>
    <t>CURRENT ASSETS, LOANS &amp; ADVANCES</t>
  </si>
  <si>
    <t>EPS</t>
  </si>
  <si>
    <t>CAGR (%)</t>
  </si>
  <si>
    <t>Other current assets</t>
  </si>
  <si>
    <t>Cash Flow</t>
  </si>
  <si>
    <t>Cash and Cash Equivalents at Beginning of the year</t>
  </si>
  <si>
    <t>Cash Flow From Operating Activities</t>
  </si>
  <si>
    <t>Cash Flow from Investing Activities</t>
  </si>
  <si>
    <t>Other Current Liabilities</t>
  </si>
  <si>
    <t>Cash Flow From Financing Activities</t>
  </si>
  <si>
    <t>Net Inc./(Dec.) in Cash and Cash Equivalent</t>
  </si>
  <si>
    <t>Cash and Cash Equivalents at End of the year</t>
  </si>
  <si>
    <t>Our Calculations</t>
  </si>
  <si>
    <t>TOTAL ASSETS</t>
  </si>
  <si>
    <t xml:space="preserve">Operating Cash Inflow </t>
  </si>
  <si>
    <t>TOTAL LIABILITIES</t>
  </si>
  <si>
    <t>Capital Expenditure</t>
  </si>
  <si>
    <t>Key ratios</t>
  </si>
  <si>
    <t>FCF</t>
  </si>
  <si>
    <t xml:space="preserve">Y/E, Mar </t>
  </si>
  <si>
    <t>CMP(Rs)</t>
  </si>
  <si>
    <t>EPS (Rs)</t>
  </si>
  <si>
    <t>No. of Shares</t>
  </si>
  <si>
    <t>BVPS (Rs)</t>
  </si>
  <si>
    <t>Market Cap</t>
  </si>
  <si>
    <t>Total Debt</t>
  </si>
  <si>
    <t>P/E (x)</t>
  </si>
  <si>
    <t>Cash</t>
  </si>
  <si>
    <t>P/BV (x)</t>
  </si>
  <si>
    <t>EV</t>
  </si>
  <si>
    <t>EV/EBIDTA (x)</t>
  </si>
  <si>
    <t>RoCE (%)</t>
  </si>
  <si>
    <t>Gross D/E(x)</t>
  </si>
  <si>
    <t>Net D/E (x)</t>
  </si>
  <si>
    <t>Credit Rating</t>
  </si>
  <si>
    <t>Other Liabilities</t>
  </si>
  <si>
    <t>Lease Liabilities</t>
  </si>
  <si>
    <t>FY23</t>
  </si>
  <si>
    <t>FY24</t>
  </si>
  <si>
    <t>Non Current Assets, Loans &amp; Advances</t>
  </si>
  <si>
    <t>Current Liabilities &amp; Provisions</t>
  </si>
  <si>
    <t>FY25</t>
  </si>
  <si>
    <t xml:space="preserve"> Intangible Assets under development</t>
  </si>
  <si>
    <t>TTM</t>
  </si>
  <si>
    <t>Borrowings</t>
  </si>
  <si>
    <t xml:space="preserve">Other Expenses &amp; Service and security charges </t>
  </si>
  <si>
    <t>Interest Coverage Ratio</t>
  </si>
  <si>
    <t>FY26</t>
  </si>
  <si>
    <t>Impairment on financial instruments</t>
  </si>
  <si>
    <t>OnEMI Technology Solution Limited (Consolidated)</t>
  </si>
  <si>
    <t>Financial Assets</t>
  </si>
  <si>
    <t>Other Non Current Assets</t>
  </si>
  <si>
    <t>Non Current Liabilities</t>
  </si>
  <si>
    <t>Debt Securities</t>
  </si>
  <si>
    <t>Current Tax Liabilities (Net)</t>
  </si>
  <si>
    <t>Other Equity</t>
  </si>
  <si>
    <t>Instruments entirely equity in nature</t>
  </si>
  <si>
    <t>Property, Plant and Equipmets</t>
  </si>
  <si>
    <t xml:space="preserve"> Loans</t>
  </si>
  <si>
    <t xml:space="preserve"> Other Financial Assets</t>
  </si>
  <si>
    <t>Total Comprehensive Income</t>
  </si>
  <si>
    <t xml:space="preserve"> Debt Securities</t>
  </si>
  <si>
    <t xml:space="preserve"> Borrowings</t>
  </si>
  <si>
    <t xml:space="preserve"> Lease Liabilities</t>
  </si>
  <si>
    <t xml:space="preserve"> Trade Payables</t>
  </si>
  <si>
    <t xml:space="preserve"> Other Financial Liabilities</t>
  </si>
  <si>
    <t xml:space="preserve"> Investments</t>
  </si>
  <si>
    <t xml:space="preserve"> Trade Recievables</t>
  </si>
  <si>
    <t xml:space="preserve"> Cash &amp; Cash Equivalents</t>
  </si>
  <si>
    <t xml:space="preserve"> Other Bank Balances</t>
  </si>
  <si>
    <t xml:space="preserve"> Other Current Financial Assets</t>
  </si>
  <si>
    <t>A-/Stable (Long Term)</t>
  </si>
  <si>
    <t>GNPA</t>
  </si>
  <si>
    <t>NNPA</t>
  </si>
  <si>
    <t>CRAR</t>
  </si>
  <si>
    <t>ECL Stage 1</t>
  </si>
  <si>
    <t>ECL Stage 2</t>
  </si>
  <si>
    <t>ECL Stage 3</t>
  </si>
  <si>
    <t>RoAE (%)</t>
  </si>
  <si>
    <t>-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</si>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</sst>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20"/>
      <color rgb="FFFFFF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85">
    <xf numFmtId="0" fontId="0" fillId="0" borderId="0" xfId="0"/>
    <xf numFmtId="0" fontId="4" fillId="0" borderId="0" xfId="0" applyFont="1"/>
    <xf numFmtId="10" fontId="5" fillId="0" borderId="0" xfId="2" applyNumberFormat="1" applyFont="1" applyFill="1" applyBorder="1"/>
    <xf numFmtId="164" fontId="4" fillId="0" borderId="0" xfId="0" applyNumberFormat="1" applyFont="1"/>
    <xf numFmtId="0" fontId="6" fillId="0" borderId="0" xfId="0" applyFont="1"/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165" fontId="8" fillId="0" borderId="2" xfId="1" applyNumberFormat="1" applyFont="1" applyBorder="1"/>
    <xf numFmtId="165" fontId="9" fillId="0" borderId="2" xfId="1" applyNumberFormat="1" applyFont="1" applyFill="1" applyBorder="1"/>
    <xf numFmtId="0" fontId="6" fillId="0" borderId="2" xfId="0" applyFont="1" applyBorder="1"/>
    <xf numFmtId="165" fontId="10" fillId="0" borderId="2" xfId="1" applyNumberFormat="1" applyFont="1" applyBorder="1"/>
    <xf numFmtId="165" fontId="10" fillId="0" borderId="2" xfId="1" applyNumberFormat="1" applyFont="1" applyFill="1" applyBorder="1"/>
    <xf numFmtId="0" fontId="8" fillId="3" borderId="2" xfId="0" applyFont="1" applyFill="1" applyBorder="1"/>
    <xf numFmtId="165" fontId="8" fillId="3" borderId="2" xfId="1" applyNumberFormat="1" applyFont="1" applyFill="1" applyBorder="1"/>
    <xf numFmtId="0" fontId="11" fillId="3" borderId="2" xfId="0" applyFont="1" applyFill="1" applyBorder="1"/>
    <xf numFmtId="10" fontId="11" fillId="3" borderId="2" xfId="0" applyNumberFormat="1" applyFont="1" applyFill="1" applyBorder="1"/>
    <xf numFmtId="165" fontId="8" fillId="3" borderId="5" xfId="1" applyNumberFormat="1" applyFont="1" applyFill="1" applyBorder="1"/>
    <xf numFmtId="165" fontId="9" fillId="3" borderId="2" xfId="1" applyNumberFormat="1" applyFont="1" applyFill="1" applyBorder="1"/>
    <xf numFmtId="10" fontId="8" fillId="3" borderId="2" xfId="0" applyNumberFormat="1" applyFont="1" applyFill="1" applyBorder="1"/>
    <xf numFmtId="164" fontId="10" fillId="0" borderId="2" xfId="0" applyNumberFormat="1" applyFont="1" applyBorder="1"/>
    <xf numFmtId="0" fontId="6" fillId="0" borderId="6" xfId="0" applyFont="1" applyBorder="1"/>
    <xf numFmtId="10" fontId="8" fillId="3" borderId="2" xfId="2" applyNumberFormat="1" applyFont="1" applyFill="1" applyBorder="1"/>
    <xf numFmtId="164" fontId="8" fillId="3" borderId="2" xfId="0" applyNumberFormat="1" applyFont="1" applyFill="1" applyBorder="1"/>
    <xf numFmtId="0" fontId="6" fillId="3" borderId="2" xfId="0" applyFont="1" applyFill="1" applyBorder="1"/>
    <xf numFmtId="10" fontId="6" fillId="3" borderId="2" xfId="0" applyNumberFormat="1" applyFont="1" applyFill="1" applyBorder="1"/>
    <xf numFmtId="166" fontId="6" fillId="3" borderId="2" xfId="0" applyNumberFormat="1" applyFont="1" applyFill="1" applyBorder="1"/>
    <xf numFmtId="0" fontId="8" fillId="0" borderId="3" xfId="0" applyFont="1" applyBorder="1" applyAlignment="1">
      <alignment horizontal="center"/>
    </xf>
    <xf numFmtId="165" fontId="8" fillId="0" borderId="5" xfId="0" applyNumberFormat="1" applyFont="1" applyBorder="1"/>
    <xf numFmtId="165" fontId="8" fillId="0" borderId="2" xfId="0" applyNumberFormat="1" applyFont="1" applyBorder="1"/>
    <xf numFmtId="0" fontId="8" fillId="0" borderId="0" xfId="0" applyFont="1"/>
    <xf numFmtId="0" fontId="8" fillId="0" borderId="5" xfId="0" applyFont="1" applyBorder="1" applyAlignment="1">
      <alignment horizontal="center"/>
    </xf>
    <xf numFmtId="165" fontId="6" fillId="3" borderId="2" xfId="1" applyNumberFormat="1" applyFont="1" applyFill="1" applyBorder="1"/>
    <xf numFmtId="3" fontId="12" fillId="0" borderId="2" xfId="0" applyNumberFormat="1" applyFont="1" applyBorder="1"/>
    <xf numFmtId="165" fontId="9" fillId="3" borderId="5" xfId="1" applyNumberFormat="1" applyFont="1" applyFill="1" applyBorder="1"/>
    <xf numFmtId="164" fontId="8" fillId="0" borderId="2" xfId="0" applyNumberFormat="1" applyFont="1" applyBorder="1"/>
    <xf numFmtId="43" fontId="8" fillId="3" borderId="2" xfId="1" applyFont="1" applyFill="1" applyBorder="1"/>
    <xf numFmtId="164" fontId="6" fillId="3" borderId="2" xfId="0" applyNumberFormat="1" applyFont="1" applyFill="1" applyBorder="1"/>
    <xf numFmtId="43" fontId="6" fillId="3" borderId="2" xfId="1" applyFont="1" applyFill="1" applyBorder="1"/>
    <xf numFmtId="43" fontId="6" fillId="3" borderId="2" xfId="1" applyFont="1" applyFill="1" applyBorder="1" applyAlignment="1">
      <alignment horizontal="right"/>
    </xf>
    <xf numFmtId="10" fontId="10" fillId="3" borderId="2" xfId="2" applyNumberFormat="1" applyFont="1" applyFill="1" applyBorder="1" applyAlignment="1">
      <alignment horizontal="right"/>
    </xf>
    <xf numFmtId="0" fontId="6" fillId="0" borderId="4" xfId="0" applyFont="1" applyBorder="1"/>
    <xf numFmtId="43" fontId="10" fillId="0" borderId="0" xfId="1" applyFont="1" applyFill="1" applyBorder="1"/>
    <xf numFmtId="0" fontId="9" fillId="0" borderId="4" xfId="0" applyFont="1" applyBorder="1" applyAlignment="1">
      <alignment horizontal="center"/>
    </xf>
    <xf numFmtId="10" fontId="13" fillId="3" borderId="2" xfId="0" applyNumberFormat="1" applyFont="1" applyFill="1" applyBorder="1"/>
    <xf numFmtId="10" fontId="9" fillId="3" borderId="2" xfId="2" applyNumberFormat="1" applyFont="1" applyFill="1" applyBorder="1"/>
    <xf numFmtId="0" fontId="9" fillId="0" borderId="2" xfId="0" applyFont="1" applyBorder="1" applyAlignment="1">
      <alignment horizontal="center"/>
    </xf>
    <xf numFmtId="165" fontId="10" fillId="3" borderId="2" xfId="1" applyNumberFormat="1" applyFont="1" applyFill="1" applyBorder="1"/>
    <xf numFmtId="0" fontId="9" fillId="0" borderId="0" xfId="0" applyFont="1"/>
    <xf numFmtId="0" fontId="10" fillId="0" borderId="0" xfId="0" applyFont="1"/>
    <xf numFmtId="0" fontId="5" fillId="0" borderId="0" xfId="0" applyFont="1"/>
    <xf numFmtId="43" fontId="10" fillId="3" borderId="2" xfId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165" fontId="9" fillId="0" borderId="5" xfId="0" applyNumberFormat="1" applyFont="1" applyBorder="1"/>
    <xf numFmtId="0" fontId="6" fillId="3" borderId="6" xfId="0" applyFont="1" applyFill="1" applyBorder="1"/>
    <xf numFmtId="165" fontId="9" fillId="3" borderId="6" xfId="1" applyNumberFormat="1" applyFont="1" applyFill="1" applyBorder="1"/>
    <xf numFmtId="10" fontId="10" fillId="3" borderId="6" xfId="2" applyNumberFormat="1" applyFont="1" applyFill="1" applyBorder="1" applyAlignment="1">
      <alignment horizontal="right"/>
    </xf>
    <xf numFmtId="165" fontId="9" fillId="0" borderId="2" xfId="0" applyNumberFormat="1" applyFont="1" applyBorder="1"/>
    <xf numFmtId="2" fontId="10" fillId="3" borderId="6" xfId="2" applyNumberFormat="1" applyFont="1" applyFill="1" applyBorder="1" applyAlignment="1">
      <alignment horizontal="right"/>
    </xf>
    <xf numFmtId="2" fontId="10" fillId="3" borderId="2" xfId="2" applyNumberFormat="1" applyFont="1" applyFill="1" applyBorder="1" applyAlignment="1">
      <alignment horizontal="right"/>
    </xf>
    <xf numFmtId="43" fontId="11" fillId="3" borderId="2" xfId="1" applyFont="1" applyFill="1" applyBorder="1"/>
    <xf numFmtId="165" fontId="9" fillId="0" borderId="2" xfId="1" applyNumberFormat="1" applyFont="1" applyBorder="1"/>
    <xf numFmtId="43" fontId="6" fillId="0" borderId="0" xfId="0" applyNumberFormat="1" applyFont="1"/>
    <xf numFmtId="2" fontId="6" fillId="0" borderId="0" xfId="0" applyNumberFormat="1" applyFont="1"/>
    <xf numFmtId="1" fontId="6" fillId="0" borderId="0" xfId="0" applyNumberFormat="1" applyFont="1"/>
    <xf numFmtId="1" fontId="6" fillId="0" borderId="0" xfId="1" applyNumberFormat="1" applyFont="1"/>
    <xf numFmtId="10" fontId="6" fillId="0" borderId="0" xfId="2" applyNumberFormat="1" applyFont="1"/>
    <xf numFmtId="43" fontId="9" fillId="0" borderId="0" xfId="0" applyNumberFormat="1" applyFont="1"/>
    <xf numFmtId="10" fontId="10" fillId="3" borderId="2" xfId="2" applyNumberFormat="1" applyFont="1" applyFill="1" applyBorder="1" applyAlignment="1">
      <alignment horizontal="center"/>
    </xf>
    <xf numFmtId="2" fontId="10" fillId="0" borderId="0" xfId="0" applyNumberFormat="1" applyFont="1"/>
    <xf numFmtId="4" fontId="6" fillId="0" borderId="2" xfId="0" applyNumberFormat="1" applyFont="1" applyBorder="1"/>
    <xf numFmtId="2" fontId="6" fillId="0" borderId="2" xfId="0" applyNumberFormat="1" applyFont="1" applyBorder="1"/>
    <xf numFmtId="0" fontId="6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6"/>
  <sheetViews>
    <sheetView tabSelected="1" zoomScale="70" zoomScaleNormal="70" zoomScaleSheetLayoutView="82" workbookViewId="0">
      <selection activeCell="M30" sqref="M30"/>
    </sheetView>
  </sheetViews>
  <sheetFormatPr defaultColWidth="9.28515625" defaultRowHeight="15.75" x14ac:dyDescent="0.25"/>
  <cols>
    <col min="1" max="1" width="70.42578125" style="1" bestFit="1" customWidth="1"/>
    <col min="2" max="2" width="16.42578125" style="1" bestFit="1" customWidth="1"/>
    <col min="3" max="3" width="16.42578125" style="1" customWidth="1"/>
    <col min="4" max="5" width="16.42578125" style="51" customWidth="1"/>
    <col min="6" max="6" width="10.28515625" style="1" customWidth="1"/>
    <col min="7" max="7" width="50.42578125" style="1" bestFit="1" customWidth="1"/>
    <col min="8" max="8" width="16" style="1" customWidth="1"/>
    <col min="9" max="9" width="14" style="1" bestFit="1" customWidth="1"/>
    <col min="10" max="10" width="14.28515625" style="51" bestFit="1" customWidth="1"/>
    <col min="11" max="11" width="13.42578125" style="1" bestFit="1" customWidth="1"/>
    <col min="12" max="12" width="9.28515625" style="1"/>
    <col min="13" max="13" width="11.42578125" style="1" bestFit="1" customWidth="1"/>
    <col min="14" max="14" width="9.28515625" style="1"/>
    <col min="15" max="15" width="14" style="1" bestFit="1" customWidth="1"/>
    <col min="16" max="16" width="10.5703125" style="1" bestFit="1" customWidth="1"/>
    <col min="17" max="18" width="12.42578125" style="1" bestFit="1" customWidth="1"/>
    <col min="19" max="16384" width="9.28515625" style="1"/>
  </cols>
  <sheetData>
    <row r="1" spans="1:18" ht="29.25" customHeight="1" x14ac:dyDescent="0.25">
      <c r="A1" s="77" t="s">
        <v>77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8" s="4" customFormat="1" ht="18.75" x14ac:dyDescent="0.3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8" s="4" customFormat="1" ht="18.75" x14ac:dyDescent="0.3">
      <c r="A3" s="75" t="s">
        <v>0</v>
      </c>
      <c r="B3" s="76"/>
      <c r="C3" s="76"/>
      <c r="D3" s="76"/>
      <c r="E3" s="76"/>
      <c r="F3" s="31"/>
      <c r="G3" s="80" t="s">
        <v>1</v>
      </c>
      <c r="H3" s="81"/>
      <c r="I3" s="81"/>
      <c r="J3" s="81"/>
      <c r="K3" s="82"/>
    </row>
    <row r="4" spans="1:18" s="4" customFormat="1" ht="18.75" x14ac:dyDescent="0.3">
      <c r="A4" s="5" t="s">
        <v>2</v>
      </c>
      <c r="B4" s="6" t="s">
        <v>65</v>
      </c>
      <c r="C4" s="6" t="s">
        <v>66</v>
      </c>
      <c r="D4" s="44" t="s">
        <v>69</v>
      </c>
      <c r="E4" s="44" t="s">
        <v>75</v>
      </c>
      <c r="F4" s="31"/>
      <c r="G4" s="7" t="s">
        <v>2</v>
      </c>
      <c r="H4" s="8" t="s">
        <v>65</v>
      </c>
      <c r="I4" s="8" t="s">
        <v>66</v>
      </c>
      <c r="J4" s="8" t="s">
        <v>69</v>
      </c>
      <c r="K4" s="8" t="s">
        <v>75</v>
      </c>
    </row>
    <row r="5" spans="1:18" s="4" customFormat="1" ht="18.75" x14ac:dyDescent="0.3">
      <c r="A5" s="7" t="s">
        <v>3</v>
      </c>
      <c r="B5" s="72">
        <v>9844.57</v>
      </c>
      <c r="C5" s="72">
        <v>16744.46</v>
      </c>
      <c r="D5" s="72">
        <v>13374.65</v>
      </c>
      <c r="E5" s="72">
        <v>21792.46</v>
      </c>
      <c r="F5" s="31"/>
      <c r="G5" s="11" t="s">
        <v>4</v>
      </c>
      <c r="H5" s="12">
        <v>47.8</v>
      </c>
      <c r="I5" s="12">
        <v>47.8</v>
      </c>
      <c r="J5" s="12">
        <v>53.63</v>
      </c>
      <c r="K5" s="12">
        <v>118.78</v>
      </c>
    </row>
    <row r="6" spans="1:18" s="4" customFormat="1" ht="18.75" x14ac:dyDescent="0.3">
      <c r="A6" s="11" t="s">
        <v>5</v>
      </c>
      <c r="B6" s="11">
        <v>170.48</v>
      </c>
      <c r="C6" s="11">
        <v>258.56</v>
      </c>
      <c r="D6" s="11">
        <v>152.22999999999999</v>
      </c>
      <c r="E6" s="11">
        <v>298.83</v>
      </c>
      <c r="F6" s="31"/>
      <c r="G6" s="11" t="s">
        <v>84</v>
      </c>
      <c r="H6" s="12">
        <v>52.81</v>
      </c>
      <c r="I6" s="12">
        <v>52.93</v>
      </c>
      <c r="J6" s="12">
        <v>53.16</v>
      </c>
      <c r="K6" s="12">
        <v>0</v>
      </c>
    </row>
    <row r="7" spans="1:18" s="4" customFormat="1" ht="18.75" x14ac:dyDescent="0.3">
      <c r="A7" s="14" t="s">
        <v>6</v>
      </c>
      <c r="B7" s="15">
        <f t="shared" ref="B7" si="0">B5+B6</f>
        <v>10015.049999999999</v>
      </c>
      <c r="C7" s="15">
        <f>C5+C6</f>
        <v>17003.02</v>
      </c>
      <c r="D7" s="15">
        <f>D5+D6</f>
        <v>13526.88</v>
      </c>
      <c r="E7" s="15">
        <f>E5+E6</f>
        <v>22091.29</v>
      </c>
      <c r="F7" s="31"/>
      <c r="G7" s="11" t="s">
        <v>83</v>
      </c>
      <c r="H7" s="12">
        <v>5561.73</v>
      </c>
      <c r="I7" s="12">
        <v>7944.96</v>
      </c>
      <c r="J7" s="12">
        <v>9953.15</v>
      </c>
      <c r="K7" s="12">
        <v>13309.06</v>
      </c>
    </row>
    <row r="8" spans="1:18" s="4" customFormat="1" ht="18.75" x14ac:dyDescent="0.3">
      <c r="A8" s="16" t="s">
        <v>8</v>
      </c>
      <c r="B8" s="62">
        <v>0</v>
      </c>
      <c r="C8" s="17">
        <f>(C7/B7-1)</f>
        <v>0.69774689092915176</v>
      </c>
      <c r="D8" s="17">
        <f>(D7/C7-1)</f>
        <v>-0.20444250491971439</v>
      </c>
      <c r="E8" s="17">
        <f>(E7/D7-1)</f>
        <v>0.63314008847568704</v>
      </c>
      <c r="F8" s="31"/>
      <c r="G8" s="14" t="s">
        <v>7</v>
      </c>
      <c r="H8" s="15">
        <f>(H5+H7+H6)</f>
        <v>5662.34</v>
      </c>
      <c r="I8" s="15">
        <f>(I5+I7+I6)</f>
        <v>8045.6900000000005</v>
      </c>
      <c r="J8" s="15">
        <f>(J5+J7+J6)</f>
        <v>10059.939999999999</v>
      </c>
      <c r="K8" s="15">
        <f>(K5+K7)</f>
        <v>13427.84</v>
      </c>
    </row>
    <row r="9" spans="1:18" s="4" customFormat="1" ht="18.75" x14ac:dyDescent="0.3">
      <c r="A9" s="16" t="s">
        <v>9</v>
      </c>
      <c r="B9" s="62">
        <v>0</v>
      </c>
      <c r="C9" s="62">
        <v>0</v>
      </c>
      <c r="D9" s="62">
        <v>0</v>
      </c>
      <c r="E9" s="17">
        <f>(E7/B7)^(1/3)-1</f>
        <v>0.30173520890310246</v>
      </c>
      <c r="F9" s="31"/>
      <c r="G9" s="14" t="s">
        <v>80</v>
      </c>
      <c r="H9" s="15">
        <f>SUM(H11:H15)</f>
        <v>639.67999999999995</v>
      </c>
      <c r="I9" s="15">
        <f>SUM(I11:I15)</f>
        <v>2102.0100000000002</v>
      </c>
      <c r="J9" s="15">
        <f>SUM(J11:J15)</f>
        <v>3097.88</v>
      </c>
      <c r="K9" s="15">
        <f>SUM(K11:K15)</f>
        <v>6581.32</v>
      </c>
    </row>
    <row r="10" spans="1:18" s="4" customFormat="1" ht="18.75" x14ac:dyDescent="0.3">
      <c r="A10" s="14" t="s">
        <v>11</v>
      </c>
      <c r="B10" s="15">
        <f t="shared" ref="B10:E10" si="1">SUM(B11:B13)</f>
        <v>9037.94</v>
      </c>
      <c r="C10" s="15">
        <f t="shared" si="1"/>
        <v>13413.439999999999</v>
      </c>
      <c r="D10" s="19">
        <f t="shared" si="1"/>
        <v>9493.2000000000007</v>
      </c>
      <c r="E10" s="19">
        <f t="shared" si="1"/>
        <v>15285.77</v>
      </c>
      <c r="F10" s="31"/>
      <c r="G10" s="11" t="s">
        <v>10</v>
      </c>
      <c r="H10" s="12"/>
      <c r="I10" s="12"/>
      <c r="J10" s="12"/>
      <c r="K10" s="12"/>
    </row>
    <row r="11" spans="1:18" s="4" customFormat="1" ht="18.75" x14ac:dyDescent="0.3">
      <c r="A11" s="11" t="s">
        <v>76</v>
      </c>
      <c r="B11" s="72">
        <v>2993</v>
      </c>
      <c r="C11" s="72">
        <v>6211.51</v>
      </c>
      <c r="D11" s="72">
        <v>3268.34</v>
      </c>
      <c r="E11" s="72">
        <v>4588.3599999999997</v>
      </c>
      <c r="F11" s="31"/>
      <c r="G11" s="11" t="s">
        <v>81</v>
      </c>
      <c r="H11" s="12">
        <v>0</v>
      </c>
      <c r="I11" s="12">
        <v>1188.99</v>
      </c>
      <c r="J11" s="12">
        <v>2016.63</v>
      </c>
      <c r="K11" s="12">
        <v>5010.4799999999996</v>
      </c>
      <c r="P11" s="66"/>
      <c r="Q11" s="67"/>
      <c r="R11" s="67"/>
    </row>
    <row r="12" spans="1:18" s="4" customFormat="1" ht="18.75" x14ac:dyDescent="0.3">
      <c r="A12" s="11" t="s">
        <v>13</v>
      </c>
      <c r="B12" s="72">
        <v>1157.72</v>
      </c>
      <c r="C12" s="72">
        <v>1807.56</v>
      </c>
      <c r="D12" s="72">
        <v>1932.36</v>
      </c>
      <c r="E12" s="72">
        <v>2524.61</v>
      </c>
      <c r="F12" s="31"/>
      <c r="G12" s="11" t="s">
        <v>72</v>
      </c>
      <c r="H12" s="12">
        <v>198.4</v>
      </c>
      <c r="I12" s="12">
        <v>498.81</v>
      </c>
      <c r="J12" s="12">
        <v>676.46</v>
      </c>
      <c r="K12" s="12">
        <v>1275.24</v>
      </c>
      <c r="P12" s="68"/>
      <c r="Q12" s="68"/>
      <c r="R12" s="68"/>
    </row>
    <row r="13" spans="1:18" s="4" customFormat="1" ht="18.75" x14ac:dyDescent="0.3">
      <c r="A13" s="11" t="s">
        <v>73</v>
      </c>
      <c r="B13" s="72">
        <v>4887.22</v>
      </c>
      <c r="C13" s="72">
        <v>5394.37</v>
      </c>
      <c r="D13" s="72">
        <v>4292.5</v>
      </c>
      <c r="E13" s="72">
        <v>8172.8</v>
      </c>
      <c r="F13" s="31"/>
      <c r="G13" s="11" t="s">
        <v>64</v>
      </c>
      <c r="H13" s="12">
        <v>415.55</v>
      </c>
      <c r="I13" s="12">
        <v>362.22</v>
      </c>
      <c r="J13" s="12">
        <v>325.91000000000003</v>
      </c>
      <c r="K13" s="12">
        <v>181.3</v>
      </c>
      <c r="O13" s="64"/>
    </row>
    <row r="14" spans="1:18" s="4" customFormat="1" ht="18.75" x14ac:dyDescent="0.3">
      <c r="A14" s="14" t="s">
        <v>15</v>
      </c>
      <c r="B14" s="15">
        <f>(B5-B10)</f>
        <v>806.6299999999992</v>
      </c>
      <c r="C14" s="15">
        <f>(C5-C10)</f>
        <v>3331.0200000000004</v>
      </c>
      <c r="D14" s="19">
        <f>(D5-D10)</f>
        <v>3881.4499999999989</v>
      </c>
      <c r="E14" s="19">
        <f>(E5-E10)</f>
        <v>6506.6899999999987</v>
      </c>
      <c r="F14" s="31"/>
      <c r="G14" s="11" t="s">
        <v>63</v>
      </c>
      <c r="H14" s="12">
        <v>0.05</v>
      </c>
      <c r="I14" s="12">
        <v>0.05</v>
      </c>
      <c r="J14" s="12">
        <v>0.05</v>
      </c>
      <c r="K14" s="12">
        <v>0</v>
      </c>
      <c r="M14" s="64"/>
      <c r="O14" s="65"/>
    </row>
    <row r="15" spans="1:18" s="4" customFormat="1" ht="18.75" x14ac:dyDescent="0.3">
      <c r="A15" s="16" t="s">
        <v>8</v>
      </c>
      <c r="B15" s="62">
        <v>0</v>
      </c>
      <c r="C15" s="17">
        <f>(C14/B14-1)</f>
        <v>3.1295513432428796</v>
      </c>
      <c r="D15" s="17">
        <f>(D14/C14-1)</f>
        <v>0.16524367911330406</v>
      </c>
      <c r="E15" s="17">
        <f>E14/D14-1</f>
        <v>0.67635548570766102</v>
      </c>
      <c r="F15" s="31"/>
      <c r="G15" s="11" t="s">
        <v>12</v>
      </c>
      <c r="H15" s="12">
        <v>25.68</v>
      </c>
      <c r="I15" s="12">
        <v>51.94</v>
      </c>
      <c r="J15" s="12">
        <v>78.83</v>
      </c>
      <c r="K15" s="12">
        <v>114.3</v>
      </c>
      <c r="M15" s="64"/>
    </row>
    <row r="16" spans="1:18" s="4" customFormat="1" ht="18.75" x14ac:dyDescent="0.3">
      <c r="A16" s="16" t="s">
        <v>9</v>
      </c>
      <c r="B16" s="62">
        <v>0</v>
      </c>
      <c r="C16" s="62">
        <v>0</v>
      </c>
      <c r="D16" s="62">
        <v>0</v>
      </c>
      <c r="E16" s="17">
        <f>(E14/B14)^(1/3)-1</f>
        <v>1.0055273176163806</v>
      </c>
      <c r="F16" s="31"/>
      <c r="G16" s="14" t="s">
        <v>14</v>
      </c>
      <c r="H16" s="19">
        <f>H47-H37</f>
        <v>6302.0199999999977</v>
      </c>
      <c r="I16" s="19">
        <f>I47-I37</f>
        <v>10147.700000000001</v>
      </c>
      <c r="J16" s="19">
        <f>J47-J37</f>
        <v>13157.819999999996</v>
      </c>
      <c r="K16" s="19">
        <f>K47-K37</f>
        <v>20009.16</v>
      </c>
    </row>
    <row r="17" spans="1:13" s="4" customFormat="1" ht="18.75" x14ac:dyDescent="0.3">
      <c r="A17" s="14" t="s">
        <v>16</v>
      </c>
      <c r="B17" s="20">
        <f>(B14/B5)</f>
        <v>8.1936539635555361E-2</v>
      </c>
      <c r="C17" s="20">
        <f>(C14/C5)</f>
        <v>0.19893266190728162</v>
      </c>
      <c r="D17" s="20">
        <f>(D14/D5)</f>
        <v>0.29020946342521103</v>
      </c>
      <c r="E17" s="20">
        <f>(E14/E5)</f>
        <v>0.29857528704882325</v>
      </c>
      <c r="F17" s="31"/>
      <c r="G17" s="14" t="s">
        <v>67</v>
      </c>
      <c r="H17" s="19">
        <f>SUM(H18:H25)</f>
        <v>992.11</v>
      </c>
      <c r="I17" s="19">
        <f>SUM(I18:I25)</f>
        <v>2175.27</v>
      </c>
      <c r="J17" s="19">
        <f>SUM(J18:J26)</f>
        <v>5397.88</v>
      </c>
      <c r="K17" s="19">
        <f>SUM(K18:K26)</f>
        <v>8634.49</v>
      </c>
      <c r="M17" s="64"/>
    </row>
    <row r="18" spans="1:13" s="4" customFormat="1" ht="18.600000000000001" customHeight="1" x14ac:dyDescent="0.3">
      <c r="A18" s="11" t="s">
        <v>17</v>
      </c>
      <c r="B18" s="11">
        <v>178.56</v>
      </c>
      <c r="C18" s="11">
        <v>228.78</v>
      </c>
      <c r="D18" s="11">
        <v>227.02</v>
      </c>
      <c r="E18" s="11">
        <v>216.17</v>
      </c>
      <c r="F18" s="31"/>
      <c r="G18" s="11" t="s">
        <v>85</v>
      </c>
      <c r="H18" s="12">
        <v>89.82</v>
      </c>
      <c r="I18" s="12">
        <v>73.819999999999993</v>
      </c>
      <c r="J18" s="12">
        <v>62.56</v>
      </c>
      <c r="K18" s="12">
        <v>73.61</v>
      </c>
      <c r="M18" s="64"/>
    </row>
    <row r="19" spans="1:13" s="4" customFormat="1" ht="18.75" x14ac:dyDescent="0.3">
      <c r="A19" s="11" t="s">
        <v>18</v>
      </c>
      <c r="B19" s="73">
        <v>559.02</v>
      </c>
      <c r="C19" s="73">
        <v>686.39</v>
      </c>
      <c r="D19" s="72">
        <v>1644.02</v>
      </c>
      <c r="E19" s="72">
        <v>2822.51</v>
      </c>
      <c r="F19" s="31"/>
      <c r="G19" s="11" t="s">
        <v>19</v>
      </c>
      <c r="H19" s="12">
        <v>526.44000000000005</v>
      </c>
      <c r="I19" s="12">
        <v>482.97</v>
      </c>
      <c r="J19" s="12">
        <v>454.23</v>
      </c>
      <c r="K19" s="12">
        <v>304.82</v>
      </c>
    </row>
    <row r="20" spans="1:13" s="4" customFormat="1" ht="18.75" x14ac:dyDescent="0.3">
      <c r="A20" s="14" t="s">
        <v>21</v>
      </c>
      <c r="B20" s="19">
        <f>(B14-B18-B19+B6)</f>
        <v>239.52999999999926</v>
      </c>
      <c r="C20" s="19">
        <f>(C14-C18-C19+C6)</f>
        <v>2674.4100000000003</v>
      </c>
      <c r="D20" s="19">
        <f>(D14-D18-D19+D6)</f>
        <v>2162.639999999999</v>
      </c>
      <c r="E20" s="19">
        <f>(E14-E18-E19+E6)</f>
        <v>3766.8399999999983</v>
      </c>
      <c r="F20" s="31"/>
      <c r="G20" s="11" t="s">
        <v>20</v>
      </c>
      <c r="H20" s="12">
        <v>46.38</v>
      </c>
      <c r="I20" s="12">
        <v>15.58</v>
      </c>
      <c r="J20" s="12">
        <v>13.16</v>
      </c>
      <c r="K20" s="12">
        <v>51.68</v>
      </c>
      <c r="M20" s="64"/>
    </row>
    <row r="21" spans="1:13" s="4" customFormat="1" ht="18.75" x14ac:dyDescent="0.3">
      <c r="A21" s="11" t="s">
        <v>23</v>
      </c>
      <c r="B21" s="11">
        <v>-37.14</v>
      </c>
      <c r="C21" s="11">
        <v>701.51</v>
      </c>
      <c r="D21" s="11">
        <v>556.42999999999995</v>
      </c>
      <c r="E21" s="11">
        <v>952.32</v>
      </c>
      <c r="F21" s="31"/>
      <c r="G21" s="11" t="s">
        <v>70</v>
      </c>
      <c r="H21" s="12">
        <v>0</v>
      </c>
      <c r="I21" s="12">
        <v>1.5</v>
      </c>
      <c r="J21" s="12">
        <v>47.79</v>
      </c>
      <c r="K21" s="12">
        <v>62.96</v>
      </c>
    </row>
    <row r="22" spans="1:13" s="4" customFormat="1" ht="18.75" x14ac:dyDescent="0.3">
      <c r="A22" s="16" t="s">
        <v>24</v>
      </c>
      <c r="B22" s="17">
        <f t="shared" ref="B22" si="2">(B21/B20)</f>
        <v>-0.15505364672483662</v>
      </c>
      <c r="C22" s="17">
        <f>(C21/C20)</f>
        <v>0.26230458306691939</v>
      </c>
      <c r="D22" s="45">
        <f>(D21/D20)</f>
        <v>0.25729201346502434</v>
      </c>
      <c r="E22" s="45">
        <f>(E21/E20)</f>
        <v>0.25281668454195039</v>
      </c>
      <c r="F22" s="31"/>
      <c r="G22" s="22" t="s">
        <v>78</v>
      </c>
      <c r="H22" s="12"/>
      <c r="I22" s="12"/>
      <c r="J22" s="12"/>
      <c r="K22" s="12"/>
    </row>
    <row r="23" spans="1:13" s="4" customFormat="1" ht="18.75" x14ac:dyDescent="0.3">
      <c r="A23" s="14" t="s">
        <v>25</v>
      </c>
      <c r="B23" s="19">
        <f t="shared" ref="B23" si="3">(B20-B21)</f>
        <v>276.66999999999928</v>
      </c>
      <c r="C23" s="19">
        <f t="shared" ref="C23" si="4">(C20-C21)</f>
        <v>1972.9000000000003</v>
      </c>
      <c r="D23" s="19">
        <f>(D20-D21)</f>
        <v>1606.2099999999991</v>
      </c>
      <c r="E23" s="19">
        <f>(E20-E21)</f>
        <v>2814.5199999999982</v>
      </c>
      <c r="F23" s="31"/>
      <c r="G23" s="11" t="s">
        <v>86</v>
      </c>
      <c r="H23" s="12">
        <v>10.72</v>
      </c>
      <c r="I23" s="12">
        <v>870.78</v>
      </c>
      <c r="J23" s="12">
        <v>2808.02</v>
      </c>
      <c r="K23" s="12">
        <v>5507.31</v>
      </c>
    </row>
    <row r="24" spans="1:13" s="4" customFormat="1" ht="18.75" x14ac:dyDescent="0.3">
      <c r="A24" s="14" t="s">
        <v>26</v>
      </c>
      <c r="B24" s="23">
        <f>B23/B5</f>
        <v>2.8103817637540215E-2</v>
      </c>
      <c r="C24" s="23">
        <f>C23/C5</f>
        <v>0.11782404448993879</v>
      </c>
      <c r="D24" s="46">
        <f>D23/D5</f>
        <v>0.120093609926241</v>
      </c>
      <c r="E24" s="46">
        <f>E23/E5</f>
        <v>0.12915109170786584</v>
      </c>
      <c r="F24" s="31"/>
      <c r="G24" s="11" t="s">
        <v>87</v>
      </c>
      <c r="H24" s="12">
        <v>318.75</v>
      </c>
      <c r="I24" s="12">
        <v>730.62</v>
      </c>
      <c r="J24" s="12">
        <v>884.82</v>
      </c>
      <c r="K24" s="12">
        <v>984.79</v>
      </c>
    </row>
    <row r="25" spans="1:13" s="4" customFormat="1" ht="18.75" x14ac:dyDescent="0.3">
      <c r="A25" s="11" t="s">
        <v>27</v>
      </c>
      <c r="B25" s="11">
        <v>-2.86</v>
      </c>
      <c r="C25" s="11">
        <v>-1.33</v>
      </c>
      <c r="D25" s="21">
        <v>-9.1999999999999993</v>
      </c>
      <c r="E25" s="21">
        <v>-3.38</v>
      </c>
      <c r="F25" s="31"/>
      <c r="G25" s="11" t="s">
        <v>79</v>
      </c>
      <c r="H25" s="12">
        <v>0</v>
      </c>
      <c r="I25" s="12">
        <v>0</v>
      </c>
      <c r="J25" s="12">
        <v>0</v>
      </c>
      <c r="K25" s="12">
        <v>188.03</v>
      </c>
    </row>
    <row r="26" spans="1:13" s="4" customFormat="1" ht="18.75" x14ac:dyDescent="0.3">
      <c r="A26" s="14" t="s">
        <v>88</v>
      </c>
      <c r="B26" s="15">
        <f>(B23+B25)</f>
        <v>273.80999999999926</v>
      </c>
      <c r="C26" s="15">
        <f t="shared" ref="C26:E26" si="5">(C23+C25)</f>
        <v>1971.5700000000004</v>
      </c>
      <c r="D26" s="15">
        <f t="shared" si="5"/>
        <v>1597.0099999999991</v>
      </c>
      <c r="E26" s="15">
        <f t="shared" si="5"/>
        <v>2811.1399999999981</v>
      </c>
      <c r="F26" s="31"/>
      <c r="G26" s="11" t="s">
        <v>22</v>
      </c>
      <c r="H26" s="12">
        <v>1024.53</v>
      </c>
      <c r="I26" s="12">
        <v>1283.3499999999999</v>
      </c>
      <c r="J26" s="12">
        <v>1127.3</v>
      </c>
      <c r="K26" s="12">
        <v>1461.29</v>
      </c>
    </row>
    <row r="27" spans="1:13" s="4" customFormat="1" ht="18.75" x14ac:dyDescent="0.3">
      <c r="A27" s="16" t="s">
        <v>8</v>
      </c>
      <c r="B27" s="62">
        <v>0</v>
      </c>
      <c r="C27" s="17">
        <f>(C23/B23-1)</f>
        <v>6.1308779412296435</v>
      </c>
      <c r="D27" s="17">
        <f t="shared" ref="D27:E27" si="6">(D23/C23-1)</f>
        <v>-0.18586344974403224</v>
      </c>
      <c r="E27" s="17">
        <f t="shared" si="6"/>
        <v>0.75227398658954914</v>
      </c>
      <c r="F27" s="31"/>
      <c r="G27" s="11"/>
      <c r="H27" s="12"/>
      <c r="I27" s="12"/>
      <c r="J27" s="12"/>
      <c r="K27" s="12"/>
    </row>
    <row r="28" spans="1:13" s="4" customFormat="1" ht="18.75" x14ac:dyDescent="0.3">
      <c r="A28" s="16" t="s">
        <v>9</v>
      </c>
      <c r="B28" s="62">
        <v>0</v>
      </c>
      <c r="C28" s="62">
        <v>0</v>
      </c>
      <c r="D28" s="62">
        <v>0</v>
      </c>
      <c r="E28" s="17">
        <f>(E23/B23)^(1/3)-1</f>
        <v>1.1667763648833871</v>
      </c>
      <c r="F28" s="31"/>
      <c r="G28" s="14" t="s">
        <v>28</v>
      </c>
      <c r="H28" s="15">
        <f>SUM(H29:H36)</f>
        <v>10735.359999999999</v>
      </c>
      <c r="I28" s="15">
        <f>SUM(I29:I36)</f>
        <v>14506.630000000001</v>
      </c>
      <c r="J28" s="15">
        <f>SUM(J29:J36)</f>
        <v>21613.159999999996</v>
      </c>
      <c r="K28" s="15">
        <f>SUM(K29:K36)</f>
        <v>31251.23</v>
      </c>
    </row>
    <row r="29" spans="1:13" s="4" customFormat="1" ht="18.75" x14ac:dyDescent="0.3">
      <c r="A29" s="7" t="s">
        <v>29</v>
      </c>
      <c r="B29" s="73">
        <v>2.5</v>
      </c>
      <c r="C29" s="11">
        <v>15.54</v>
      </c>
      <c r="D29" s="11">
        <v>12.79</v>
      </c>
      <c r="E29" s="11">
        <v>21.39</v>
      </c>
      <c r="F29" s="31"/>
      <c r="G29" s="11" t="s">
        <v>78</v>
      </c>
      <c r="H29" s="12"/>
      <c r="I29" s="12"/>
      <c r="J29" s="12"/>
      <c r="K29" s="12"/>
    </row>
    <row r="30" spans="1:13" s="4" customFormat="1" ht="18.75" x14ac:dyDescent="0.3">
      <c r="A30" s="25" t="s">
        <v>8</v>
      </c>
      <c r="B30" s="62">
        <v>0</v>
      </c>
      <c r="C30" s="26">
        <f>(C29/B29-1)</f>
        <v>5.2159999999999993</v>
      </c>
      <c r="D30" s="26">
        <f>(D29/C29-1)</f>
        <v>-0.17696267696267698</v>
      </c>
      <c r="E30" s="26">
        <f>(E29/D29-1)</f>
        <v>0.67240031274433165</v>
      </c>
      <c r="F30" s="31"/>
      <c r="G30" s="11" t="s">
        <v>94</v>
      </c>
      <c r="H30" s="12">
        <v>0</v>
      </c>
      <c r="I30" s="12">
        <v>0</v>
      </c>
      <c r="J30" s="12">
        <v>0</v>
      </c>
      <c r="K30" s="12">
        <v>80.45</v>
      </c>
    </row>
    <row r="31" spans="1:13" s="4" customFormat="1" ht="18.75" x14ac:dyDescent="0.3">
      <c r="A31" s="25" t="s">
        <v>30</v>
      </c>
      <c r="B31" s="62">
        <v>0</v>
      </c>
      <c r="C31" s="62">
        <v>0</v>
      </c>
      <c r="D31" s="62">
        <v>0</v>
      </c>
      <c r="E31" s="17">
        <f>(E29/B29)^(1/3)-1</f>
        <v>1.0452995617701206</v>
      </c>
      <c r="F31" s="31"/>
      <c r="G31" s="11" t="s">
        <v>95</v>
      </c>
      <c r="H31" s="12">
        <v>657.79</v>
      </c>
      <c r="I31" s="12">
        <v>1624.36</v>
      </c>
      <c r="J31" s="12">
        <v>700.77</v>
      </c>
      <c r="K31" s="12">
        <v>1042.97</v>
      </c>
    </row>
    <row r="32" spans="1:13" s="4" customFormat="1" ht="18.75" x14ac:dyDescent="0.3">
      <c r="A32" s="83"/>
      <c r="B32" s="83"/>
      <c r="C32" s="83"/>
      <c r="D32" s="83"/>
      <c r="E32" s="53"/>
      <c r="F32" s="31"/>
      <c r="G32" s="11" t="s">
        <v>96</v>
      </c>
      <c r="H32" s="12">
        <v>5699.68</v>
      </c>
      <c r="I32" s="12">
        <v>2850.37</v>
      </c>
      <c r="J32" s="12">
        <v>1327.23</v>
      </c>
      <c r="K32" s="12">
        <v>2094.56</v>
      </c>
    </row>
    <row r="33" spans="1:11" s="4" customFormat="1" ht="18.75" x14ac:dyDescent="0.3">
      <c r="A33" s="75" t="s">
        <v>32</v>
      </c>
      <c r="B33" s="76"/>
      <c r="C33" s="76"/>
      <c r="D33" s="76"/>
      <c r="E33" s="76"/>
      <c r="F33" s="31"/>
      <c r="G33" s="11" t="s">
        <v>97</v>
      </c>
      <c r="H33" s="12">
        <v>913.11</v>
      </c>
      <c r="I33" s="12">
        <v>331.43</v>
      </c>
      <c r="J33" s="12">
        <v>117.7</v>
      </c>
      <c r="K33" s="12">
        <v>317.54000000000002</v>
      </c>
    </row>
    <row r="34" spans="1:11" s="4" customFormat="1" ht="18.75" x14ac:dyDescent="0.3">
      <c r="A34" s="5" t="s">
        <v>2</v>
      </c>
      <c r="B34" s="28" t="s">
        <v>65</v>
      </c>
      <c r="C34" s="8" t="s">
        <v>66</v>
      </c>
      <c r="D34" s="54" t="s">
        <v>69</v>
      </c>
      <c r="E34" s="47" t="s">
        <v>75</v>
      </c>
      <c r="F34" s="31"/>
      <c r="G34" s="11" t="s">
        <v>86</v>
      </c>
      <c r="H34" s="12">
        <v>2933.45</v>
      </c>
      <c r="I34" s="12">
        <v>9601.75</v>
      </c>
      <c r="J34" s="12">
        <v>18769.419999999998</v>
      </c>
      <c r="K34" s="12">
        <v>26386.15</v>
      </c>
    </row>
    <row r="35" spans="1:11" s="4" customFormat="1" ht="18.75" x14ac:dyDescent="0.3">
      <c r="A35" s="7" t="s">
        <v>33</v>
      </c>
      <c r="B35" s="29">
        <v>873.53</v>
      </c>
      <c r="C35" s="30">
        <f>B40</f>
        <v>5699.6799999999994</v>
      </c>
      <c r="D35" s="55">
        <f>C40</f>
        <v>2850.3799999999997</v>
      </c>
      <c r="E35" s="59">
        <f>D40</f>
        <v>1327.2399999999993</v>
      </c>
      <c r="F35" s="31"/>
      <c r="G35" s="11" t="s">
        <v>98</v>
      </c>
      <c r="H35" s="12">
        <v>498.95</v>
      </c>
      <c r="I35" s="12">
        <v>63.61</v>
      </c>
      <c r="J35" s="12">
        <v>581.78</v>
      </c>
      <c r="K35" s="12">
        <v>1119.8900000000001</v>
      </c>
    </row>
    <row r="36" spans="1:11" s="4" customFormat="1" ht="18.75" x14ac:dyDescent="0.3">
      <c r="A36" s="7" t="s">
        <v>34</v>
      </c>
      <c r="B36" s="63">
        <v>1114.78</v>
      </c>
      <c r="C36" s="63">
        <v>-6374.33</v>
      </c>
      <c r="D36" s="63">
        <v>-6614.26</v>
      </c>
      <c r="E36" s="63">
        <v>-4608.21</v>
      </c>
      <c r="F36" s="31"/>
      <c r="G36" s="22" t="s">
        <v>31</v>
      </c>
      <c r="H36" s="12">
        <v>32.380000000000003</v>
      </c>
      <c r="I36" s="12">
        <v>35.11</v>
      </c>
      <c r="J36" s="12">
        <f>116.26</f>
        <v>116.26</v>
      </c>
      <c r="K36" s="12">
        <v>209.67</v>
      </c>
    </row>
    <row r="37" spans="1:11" s="4" customFormat="1" ht="18.75" x14ac:dyDescent="0.3">
      <c r="A37" s="11" t="s">
        <v>35</v>
      </c>
      <c r="B37" s="12">
        <v>-724.53</v>
      </c>
      <c r="C37" s="12">
        <v>404.22</v>
      </c>
      <c r="D37" s="12">
        <v>-332.28</v>
      </c>
      <c r="E37" s="12">
        <v>-704.03</v>
      </c>
      <c r="F37" s="31"/>
      <c r="G37" s="14" t="s">
        <v>68</v>
      </c>
      <c r="H37" s="15">
        <f>SUM(H38:H46)</f>
        <v>6449.9800000000005</v>
      </c>
      <c r="I37" s="15">
        <f>SUM(I38:I46)</f>
        <v>7817.55</v>
      </c>
      <c r="J37" s="15">
        <f>SUM(J38:J46)</f>
        <v>13853.220000000001</v>
      </c>
      <c r="K37" s="15">
        <f>SUM(K38:K46)</f>
        <v>19876.560000000001</v>
      </c>
    </row>
    <row r="38" spans="1:11" s="4" customFormat="1" ht="18.75" x14ac:dyDescent="0.3">
      <c r="A38" s="11" t="s">
        <v>37</v>
      </c>
      <c r="B38" s="12">
        <v>4435.8999999999996</v>
      </c>
      <c r="C38" s="12">
        <v>3120.81</v>
      </c>
      <c r="D38" s="12">
        <v>5423.4</v>
      </c>
      <c r="E38" s="12">
        <v>6079.57</v>
      </c>
      <c r="F38" s="31"/>
      <c r="G38" s="11" t="s">
        <v>10</v>
      </c>
      <c r="H38" s="12"/>
      <c r="I38" s="12"/>
      <c r="J38" s="12"/>
      <c r="K38" s="12"/>
    </row>
    <row r="39" spans="1:11" s="4" customFormat="1" ht="18.75" x14ac:dyDescent="0.3">
      <c r="A39" s="7" t="s">
        <v>38</v>
      </c>
      <c r="B39" s="9">
        <f t="shared" ref="B39" si="7">SUM(B36:B38)</f>
        <v>4826.1499999999996</v>
      </c>
      <c r="C39" s="9">
        <f>SUM(C36:C38)</f>
        <v>-2849.2999999999997</v>
      </c>
      <c r="D39" s="10">
        <f>SUM(D36:D38)</f>
        <v>-1523.1400000000003</v>
      </c>
      <c r="E39" s="10">
        <f>SUM(E36:E38)</f>
        <v>767.32999999999993</v>
      </c>
      <c r="F39" s="31"/>
      <c r="G39" s="11" t="s">
        <v>89</v>
      </c>
      <c r="H39" s="12">
        <v>576.14</v>
      </c>
      <c r="I39" s="12">
        <v>2069.12</v>
      </c>
      <c r="J39" s="12">
        <v>3117.52</v>
      </c>
      <c r="K39" s="12">
        <v>8027.85</v>
      </c>
    </row>
    <row r="40" spans="1:11" s="4" customFormat="1" ht="18.75" x14ac:dyDescent="0.3">
      <c r="A40" s="14" t="s">
        <v>39</v>
      </c>
      <c r="B40" s="18">
        <f>B35+B39</f>
        <v>5699.6799999999994</v>
      </c>
      <c r="C40" s="15">
        <f>C35+C39</f>
        <v>2850.3799999999997</v>
      </c>
      <c r="D40" s="35">
        <f>D35+D39</f>
        <v>1327.2399999999993</v>
      </c>
      <c r="E40" s="19">
        <f>E35+E39</f>
        <v>2094.5699999999993</v>
      </c>
      <c r="F40" s="31"/>
      <c r="G40" s="11" t="s">
        <v>90</v>
      </c>
      <c r="H40" s="12">
        <v>3104.32</v>
      </c>
      <c r="I40" s="12">
        <v>4086.04</v>
      </c>
      <c r="J40" s="12">
        <v>9265.2000000000007</v>
      </c>
      <c r="K40" s="12">
        <v>9647.4500000000007</v>
      </c>
    </row>
    <row r="41" spans="1:11" s="4" customFormat="1" ht="18.75" x14ac:dyDescent="0.3">
      <c r="A41" s="84"/>
      <c r="B41" s="84"/>
      <c r="C41" s="84"/>
      <c r="D41" s="84"/>
      <c r="E41" s="53"/>
      <c r="F41" s="31"/>
      <c r="G41" s="11" t="s">
        <v>91</v>
      </c>
      <c r="H41" s="12">
        <v>140.61000000000001</v>
      </c>
      <c r="I41" s="12">
        <v>155.36000000000001</v>
      </c>
      <c r="J41" s="12">
        <v>161.81</v>
      </c>
      <c r="K41" s="12">
        <v>148.96</v>
      </c>
    </row>
    <row r="42" spans="1:11" s="4" customFormat="1" ht="18.75" x14ac:dyDescent="0.3">
      <c r="A42" s="7" t="s">
        <v>40</v>
      </c>
      <c r="B42" s="32" t="s">
        <v>65</v>
      </c>
      <c r="C42" s="8" t="s">
        <v>66</v>
      </c>
      <c r="D42" s="47" t="s">
        <v>69</v>
      </c>
      <c r="E42" s="47" t="s">
        <v>75</v>
      </c>
      <c r="F42" s="31"/>
      <c r="G42" s="11" t="s">
        <v>92</v>
      </c>
      <c r="H42" s="12">
        <f>11.38+238.11</f>
        <v>249.49</v>
      </c>
      <c r="I42" s="12">
        <f>33.6+284.78</f>
        <v>318.38</v>
      </c>
      <c r="J42" s="12">
        <f>78.68+443.3</f>
        <v>521.98</v>
      </c>
      <c r="K42" s="12">
        <f>584.18+464.24</f>
        <v>1048.42</v>
      </c>
    </row>
    <row r="43" spans="1:11" s="4" customFormat="1" ht="18.75" x14ac:dyDescent="0.3">
      <c r="A43" s="14" t="s">
        <v>42</v>
      </c>
      <c r="B43" s="18">
        <f t="shared" ref="B43" si="8">B36</f>
        <v>1114.78</v>
      </c>
      <c r="C43" s="15">
        <f>C36</f>
        <v>-6374.33</v>
      </c>
      <c r="D43" s="19">
        <f>D36</f>
        <v>-6614.26</v>
      </c>
      <c r="E43" s="19">
        <f>E36</f>
        <v>-4608.21</v>
      </c>
      <c r="F43" s="31"/>
      <c r="G43" s="11" t="s">
        <v>93</v>
      </c>
      <c r="H43" s="12">
        <v>2140.4499999999998</v>
      </c>
      <c r="I43" s="12">
        <v>717.83</v>
      </c>
      <c r="J43" s="12">
        <v>497.86</v>
      </c>
      <c r="K43" s="12">
        <v>716.07</v>
      </c>
    </row>
    <row r="44" spans="1:11" s="4" customFormat="1" ht="18.75" x14ac:dyDescent="0.3">
      <c r="A44" s="25" t="s">
        <v>44</v>
      </c>
      <c r="B44" s="33">
        <f>H18+B18</f>
        <v>268.38</v>
      </c>
      <c r="C44" s="33">
        <f>H18-I18+C18</f>
        <v>244.78</v>
      </c>
      <c r="D44" s="48">
        <f>I18-J18+D18</f>
        <v>238.28</v>
      </c>
      <c r="E44" s="48">
        <f>J18-K18+E18</f>
        <v>205.12</v>
      </c>
      <c r="F44" s="31"/>
      <c r="G44" s="11" t="s">
        <v>36</v>
      </c>
      <c r="H44" s="12">
        <v>175.05</v>
      </c>
      <c r="I44" s="12">
        <v>332.09</v>
      </c>
      <c r="J44" s="12">
        <v>192.08</v>
      </c>
      <c r="K44" s="12">
        <v>207.4</v>
      </c>
    </row>
    <row r="45" spans="1:11" s="4" customFormat="1" ht="18.75" x14ac:dyDescent="0.3">
      <c r="A45" s="14" t="s">
        <v>46</v>
      </c>
      <c r="B45" s="18">
        <f t="shared" ref="B45" si="9">SUM(B43:B44)</f>
        <v>1383.1599999999999</v>
      </c>
      <c r="C45" s="15">
        <f t="shared" ref="C45:D45" si="10">SUM(C43:C44)</f>
        <v>-6129.55</v>
      </c>
      <c r="D45" s="19">
        <f t="shared" si="10"/>
        <v>-6375.9800000000005</v>
      </c>
      <c r="E45" s="19">
        <f>SUM(E43:E44)</f>
        <v>-4403.09</v>
      </c>
      <c r="F45" s="31"/>
      <c r="G45" s="11" t="s">
        <v>12</v>
      </c>
      <c r="H45" s="12">
        <v>4.01</v>
      </c>
      <c r="I45" s="12">
        <v>11.09</v>
      </c>
      <c r="J45" s="12">
        <v>16.02</v>
      </c>
      <c r="K45" s="12">
        <v>23.66</v>
      </c>
    </row>
    <row r="46" spans="1:11" s="4" customFormat="1" ht="18.75" x14ac:dyDescent="0.3">
      <c r="A46" s="84"/>
      <c r="B46" s="84"/>
      <c r="C46" s="84"/>
      <c r="D46" s="84"/>
      <c r="E46" s="53"/>
      <c r="F46" s="31"/>
      <c r="G46" s="11" t="s">
        <v>82</v>
      </c>
      <c r="H46" s="12">
        <v>59.91</v>
      </c>
      <c r="I46" s="12">
        <v>127.64</v>
      </c>
      <c r="J46" s="12">
        <v>80.75</v>
      </c>
      <c r="K46" s="12">
        <v>56.75</v>
      </c>
    </row>
    <row r="47" spans="1:11" s="4" customFormat="1" ht="18.75" x14ac:dyDescent="0.3">
      <c r="A47" s="11" t="s">
        <v>50</v>
      </c>
      <c r="B47" s="34">
        <v>4780175</v>
      </c>
      <c r="C47" s="34">
        <v>4780175</v>
      </c>
      <c r="D47" s="34">
        <v>5363087</v>
      </c>
      <c r="E47" s="34">
        <v>168483022</v>
      </c>
      <c r="F47" s="31"/>
      <c r="G47" s="14" t="s">
        <v>41</v>
      </c>
      <c r="H47" s="19">
        <f>SUM(H18:H27)+H28</f>
        <v>12751.999999999998</v>
      </c>
      <c r="I47" s="19">
        <f>SUM(I18:I27)+I28</f>
        <v>17965.25</v>
      </c>
      <c r="J47" s="19">
        <f>J28+J17</f>
        <v>27011.039999999997</v>
      </c>
      <c r="K47" s="19">
        <f>K28+K17</f>
        <v>39885.72</v>
      </c>
    </row>
    <row r="48" spans="1:11" s="4" customFormat="1" ht="18.75" x14ac:dyDescent="0.3">
      <c r="A48" s="25" t="s">
        <v>52</v>
      </c>
      <c r="B48" s="48">
        <v>0</v>
      </c>
      <c r="C48" s="48">
        <v>0</v>
      </c>
      <c r="D48" s="48">
        <v>0</v>
      </c>
      <c r="E48" s="48">
        <v>0</v>
      </c>
      <c r="F48" s="31"/>
      <c r="G48" s="14" t="s">
        <v>43</v>
      </c>
      <c r="H48" s="19">
        <f>H37+H9+H8</f>
        <v>12752</v>
      </c>
      <c r="I48" s="19">
        <f>I37+I9+I8</f>
        <v>17965.25</v>
      </c>
      <c r="J48" s="19">
        <f>J37+J9+J8</f>
        <v>27011.040000000001</v>
      </c>
      <c r="K48" s="19">
        <f>K37+K9+K8</f>
        <v>39885.72</v>
      </c>
    </row>
    <row r="49" spans="1:12" s="4" customFormat="1" ht="18.75" x14ac:dyDescent="0.3">
      <c r="A49" s="25" t="s">
        <v>53</v>
      </c>
      <c r="B49" s="48">
        <f>H12+H40</f>
        <v>3302.7200000000003</v>
      </c>
      <c r="C49" s="48">
        <f>I12+I40</f>
        <v>4584.8500000000004</v>
      </c>
      <c r="D49" s="48">
        <f>J12+J40</f>
        <v>9941.66</v>
      </c>
      <c r="E49" s="48">
        <f>K12+K40</f>
        <v>10922.69</v>
      </c>
      <c r="F49" s="31"/>
      <c r="J49" s="50"/>
    </row>
    <row r="50" spans="1:12" s="4" customFormat="1" ht="18.75" x14ac:dyDescent="0.3">
      <c r="A50" s="25" t="s">
        <v>55</v>
      </c>
      <c r="B50" s="33">
        <f>H32</f>
        <v>5699.68</v>
      </c>
      <c r="C50" s="33">
        <f>I32</f>
        <v>2850.37</v>
      </c>
      <c r="D50" s="48">
        <f>J32</f>
        <v>1327.23</v>
      </c>
      <c r="E50" s="48">
        <f>K32</f>
        <v>2094.56</v>
      </c>
      <c r="F50" s="31"/>
      <c r="J50" s="50"/>
    </row>
    <row r="51" spans="1:12" s="4" customFormat="1" ht="18.75" x14ac:dyDescent="0.3">
      <c r="A51" s="56" t="s">
        <v>57</v>
      </c>
      <c r="B51" s="57">
        <f>B48+B49-B50</f>
        <v>-2396.96</v>
      </c>
      <c r="C51" s="57">
        <f>C48+C49-C50</f>
        <v>1734.4800000000005</v>
      </c>
      <c r="D51" s="57">
        <f>D48+D49-D50</f>
        <v>8614.43</v>
      </c>
      <c r="E51" s="57">
        <f>E48+E49-E50</f>
        <v>8828.130000000001</v>
      </c>
      <c r="F51" s="31"/>
      <c r="G51" s="75" t="s">
        <v>45</v>
      </c>
      <c r="H51" s="76"/>
      <c r="I51" s="76"/>
      <c r="J51" s="76"/>
      <c r="K51" s="76"/>
    </row>
    <row r="52" spans="1:12" s="4" customFormat="1" ht="18.75" x14ac:dyDescent="0.3">
      <c r="A52" s="74"/>
      <c r="B52" s="74"/>
      <c r="C52" s="74"/>
      <c r="D52" s="74"/>
      <c r="E52" s="74"/>
      <c r="F52" s="31"/>
      <c r="G52" s="7" t="s">
        <v>47</v>
      </c>
      <c r="H52" s="8" t="s">
        <v>65</v>
      </c>
      <c r="I52" s="8" t="s">
        <v>66</v>
      </c>
      <c r="J52" s="47" t="s">
        <v>69</v>
      </c>
      <c r="K52" s="47" t="s">
        <v>75</v>
      </c>
    </row>
    <row r="53" spans="1:12" s="4" customFormat="1" ht="18.75" x14ac:dyDescent="0.3">
      <c r="A53" s="53"/>
      <c r="B53" s="53"/>
      <c r="C53" s="53"/>
      <c r="D53" s="53"/>
      <c r="E53" s="53"/>
      <c r="F53" s="31"/>
      <c r="G53" s="36" t="s">
        <v>48</v>
      </c>
      <c r="H53" s="12" t="s">
        <v>108</v>
      </c>
      <c r="I53" s="12" t="s">
        <v>108</v>
      </c>
      <c r="J53" s="12" t="s">
        <v>108</v>
      </c>
      <c r="K53" s="12" t="s">
        <v>108</v>
      </c>
    </row>
    <row r="54" spans="1:12" s="4" customFormat="1" ht="18.75" x14ac:dyDescent="0.3">
      <c r="A54" s="53"/>
      <c r="B54" s="53"/>
      <c r="C54" s="53"/>
      <c r="D54" s="53"/>
      <c r="E54" s="53"/>
      <c r="F54" s="31"/>
      <c r="G54" s="24" t="s">
        <v>49</v>
      </c>
      <c r="H54" s="37">
        <f>B29</f>
        <v>2.5</v>
      </c>
      <c r="I54" s="37">
        <f>C29</f>
        <v>15.54</v>
      </c>
      <c r="J54" s="37">
        <f>D29</f>
        <v>12.79</v>
      </c>
      <c r="K54" s="37">
        <f>E29</f>
        <v>21.39</v>
      </c>
    </row>
    <row r="55" spans="1:12" s="4" customFormat="1" ht="18.75" x14ac:dyDescent="0.3">
      <c r="B55" s="31"/>
      <c r="C55" s="31"/>
      <c r="D55" s="49"/>
      <c r="E55" s="71"/>
      <c r="F55" s="31"/>
      <c r="G55" s="38" t="s">
        <v>51</v>
      </c>
      <c r="H55" s="39">
        <f>(H8*1000000)/B47</f>
        <v>1184.5465908674892</v>
      </c>
      <c r="I55" s="39">
        <f>(I8*1000000)/C47</f>
        <v>1683.1371236408711</v>
      </c>
      <c r="J55" s="39">
        <f>(J8*1000000)/D47</f>
        <v>1875.7741576819467</v>
      </c>
      <c r="K55" s="39">
        <f>(K8*1000000)/E47</f>
        <v>79.698475493869054</v>
      </c>
    </row>
    <row r="56" spans="1:12" s="4" customFormat="1" ht="18.75" x14ac:dyDescent="0.3">
      <c r="B56" s="31"/>
      <c r="C56" s="31"/>
      <c r="D56" s="49"/>
      <c r="E56" s="69"/>
      <c r="F56" s="31"/>
      <c r="G56" s="38" t="s">
        <v>54</v>
      </c>
      <c r="H56" s="40" t="s">
        <v>108</v>
      </c>
      <c r="I56" s="40" t="s">
        <v>108</v>
      </c>
      <c r="J56" s="40" t="s">
        <v>108</v>
      </c>
      <c r="K56" s="52" t="s">
        <v>108</v>
      </c>
    </row>
    <row r="57" spans="1:12" s="4" customFormat="1" ht="18.75" x14ac:dyDescent="0.3">
      <c r="B57" s="13"/>
      <c r="C57" s="31"/>
      <c r="D57" s="49"/>
      <c r="E57" s="49"/>
      <c r="F57" s="31"/>
      <c r="G57" s="38" t="s">
        <v>56</v>
      </c>
      <c r="H57" s="40" t="s">
        <v>108</v>
      </c>
      <c r="I57" s="40" t="s">
        <v>108</v>
      </c>
      <c r="J57" s="40" t="s">
        <v>108</v>
      </c>
      <c r="K57" s="52" t="s">
        <v>108</v>
      </c>
    </row>
    <row r="58" spans="1:12" s="4" customFormat="1" ht="18.75" x14ac:dyDescent="0.3">
      <c r="D58" s="50"/>
      <c r="E58" s="50"/>
      <c r="F58" s="31"/>
      <c r="G58" s="38" t="s">
        <v>58</v>
      </c>
      <c r="H58" s="40">
        <f>B51/B14</f>
        <v>-2.9715730880329301</v>
      </c>
      <c r="I58" s="40">
        <f t="shared" ref="H58:J58" si="11">C51/C14</f>
        <v>0.52070536952645141</v>
      </c>
      <c r="J58" s="40">
        <f t="shared" si="11"/>
        <v>2.2193845083667192</v>
      </c>
      <c r="K58" s="40">
        <f>E51/E14</f>
        <v>1.3567774090974063</v>
      </c>
    </row>
    <row r="59" spans="1:12" s="4" customFormat="1" ht="18.75" x14ac:dyDescent="0.3">
      <c r="D59" s="50"/>
      <c r="E59" s="50"/>
      <c r="F59" s="31"/>
      <c r="G59" s="27" t="s">
        <v>106</v>
      </c>
      <c r="H59" s="70" t="s">
        <v>107</v>
      </c>
      <c r="I59" s="41">
        <f>C23/AVERAGE(H8,I8)</f>
        <v>0.28784588303352127</v>
      </c>
      <c r="J59" s="41">
        <f>D23/AVERAGE(I8,J8)</f>
        <v>0.17742657946727061</v>
      </c>
      <c r="K59" s="41">
        <f>E23/AVERAGE(J8,K8)</f>
        <v>0.23965823930571542</v>
      </c>
    </row>
    <row r="60" spans="1:12" s="4" customFormat="1" ht="18.75" x14ac:dyDescent="0.3">
      <c r="D60" s="50"/>
      <c r="E60" s="50"/>
      <c r="F60" s="31"/>
      <c r="G60" s="27" t="s">
        <v>59</v>
      </c>
      <c r="H60" s="70" t="s">
        <v>107</v>
      </c>
      <c r="I60" s="41">
        <f>(C14-C18)/AVERAGE(H16:I16)</f>
        <v>0.37717845653299881</v>
      </c>
      <c r="J60" s="41">
        <f t="shared" ref="J60" si="12">(D14-D18)/AVERAGE(I16:J16)</f>
        <v>0.31361068107469814</v>
      </c>
      <c r="K60" s="41">
        <f>(E14-E18)/AVERAGE(J16:K16)</f>
        <v>0.37932425563014777</v>
      </c>
      <c r="L60" s="4" t="s">
        <v>71</v>
      </c>
    </row>
    <row r="61" spans="1:12" s="4" customFormat="1" ht="18.75" x14ac:dyDescent="0.3">
      <c r="D61" s="50"/>
      <c r="E61" s="50"/>
      <c r="F61" s="31"/>
      <c r="G61" s="38" t="s">
        <v>60</v>
      </c>
      <c r="H61" s="61">
        <f>H10/H8</f>
        <v>0</v>
      </c>
      <c r="I61" s="61">
        <f>I10/I8</f>
        <v>0</v>
      </c>
      <c r="J61" s="61">
        <f>J12/J8</f>
        <v>6.7242945782976848E-2</v>
      </c>
      <c r="K61" s="61">
        <f>K12/K8</f>
        <v>9.4969853677136451E-2</v>
      </c>
    </row>
    <row r="62" spans="1:12" s="4" customFormat="1" ht="18.75" x14ac:dyDescent="0.3">
      <c r="D62" s="50"/>
      <c r="E62" s="50"/>
      <c r="F62" s="31"/>
      <c r="G62" s="38" t="s">
        <v>61</v>
      </c>
      <c r="H62" s="61">
        <f>(H10-H32-H33)/H8</f>
        <v>-1.1678546325370782</v>
      </c>
      <c r="I62" s="61">
        <f>(I10-I32-I33)/I8</f>
        <v>-0.39546639256546046</v>
      </c>
      <c r="J62" s="61">
        <f>(J12-J32-J33)/J8</f>
        <v>-7.6389123593182479E-2</v>
      </c>
      <c r="K62" s="61">
        <f>(K12-K32-K33)/K8</f>
        <v>-8.4664398741718688E-2</v>
      </c>
    </row>
    <row r="63" spans="1:12" s="4" customFormat="1" ht="18.75" x14ac:dyDescent="0.3">
      <c r="D63" s="50"/>
      <c r="E63" s="50"/>
      <c r="F63" s="31"/>
      <c r="G63" s="38" t="s">
        <v>100</v>
      </c>
      <c r="H63" s="41">
        <v>5.0000000000000001E-4</v>
      </c>
      <c r="I63" s="41">
        <v>7.9000000000000008E-3</v>
      </c>
      <c r="J63" s="41">
        <v>2.8899999999999999E-2</v>
      </c>
      <c r="K63" s="41">
        <v>2.12E-2</v>
      </c>
    </row>
    <row r="64" spans="1:12" s="4" customFormat="1" ht="18.75" x14ac:dyDescent="0.3">
      <c r="D64" s="50"/>
      <c r="E64" s="50"/>
      <c r="F64" s="31"/>
      <c r="G64" s="38" t="s">
        <v>101</v>
      </c>
      <c r="H64" s="58">
        <v>0</v>
      </c>
      <c r="I64" s="58">
        <v>0</v>
      </c>
      <c r="J64" s="41">
        <v>2.5000000000000001E-3</v>
      </c>
      <c r="K64" s="41">
        <v>2.8999999999999998E-3</v>
      </c>
    </row>
    <row r="65" spans="1:13" s="4" customFormat="1" ht="18.75" x14ac:dyDescent="0.3">
      <c r="D65" s="50"/>
      <c r="E65" s="50"/>
      <c r="F65" s="31"/>
      <c r="G65" s="38" t="s">
        <v>102</v>
      </c>
      <c r="H65" s="58">
        <v>0.21129999999999999</v>
      </c>
      <c r="I65" s="58">
        <v>0.25769999999999998</v>
      </c>
      <c r="J65" s="58">
        <v>0.25180000000000002</v>
      </c>
      <c r="K65" s="58">
        <v>0.253</v>
      </c>
    </row>
    <row r="66" spans="1:13" s="4" customFormat="1" ht="18.75" x14ac:dyDescent="0.3">
      <c r="D66" s="50"/>
      <c r="E66" s="50"/>
      <c r="F66" s="31"/>
      <c r="G66" s="38" t="s">
        <v>74</v>
      </c>
      <c r="H66" s="60">
        <f>(B14-B18)/B19</f>
        <v>1.1235197309577463</v>
      </c>
      <c r="I66" s="60">
        <f t="shared" ref="I66:K66" si="13">(C14-C18)/C19</f>
        <v>4.519646265242792</v>
      </c>
      <c r="J66" s="60">
        <f t="shared" si="13"/>
        <v>2.2228622522840347</v>
      </c>
      <c r="K66" s="60">
        <f t="shared" si="13"/>
        <v>2.2286971525344454</v>
      </c>
      <c r="M66" s="64"/>
    </row>
    <row r="67" spans="1:13" s="4" customFormat="1" ht="18.75" x14ac:dyDescent="0.3">
      <c r="D67" s="50"/>
      <c r="E67" s="50"/>
      <c r="F67" s="31"/>
      <c r="G67" s="38" t="s">
        <v>103</v>
      </c>
      <c r="H67" s="58">
        <v>0.20518</v>
      </c>
      <c r="I67" s="58">
        <v>0.13139999999999999</v>
      </c>
      <c r="J67" s="58">
        <v>2.8000000000000001E-2</v>
      </c>
      <c r="K67" s="58">
        <v>0.03</v>
      </c>
    </row>
    <row r="68" spans="1:13" s="4" customFormat="1" ht="18.75" x14ac:dyDescent="0.3">
      <c r="D68" s="50"/>
      <c r="E68" s="50"/>
      <c r="F68" s="31"/>
      <c r="G68" s="38" t="s">
        <v>104</v>
      </c>
      <c r="H68" s="58">
        <v>0.92637700000000001</v>
      </c>
      <c r="I68" s="58">
        <v>0.74278999999999995</v>
      </c>
      <c r="J68" s="58">
        <v>0.59199999999999997</v>
      </c>
      <c r="K68" s="58">
        <v>0.75600000000000001</v>
      </c>
    </row>
    <row r="69" spans="1:13" s="4" customFormat="1" ht="18.75" x14ac:dyDescent="0.3">
      <c r="D69" s="50"/>
      <c r="E69" s="50"/>
      <c r="F69" s="31"/>
      <c r="G69" s="38" t="s">
        <v>105</v>
      </c>
      <c r="H69" s="58">
        <v>1</v>
      </c>
      <c r="I69" s="58">
        <v>1</v>
      </c>
      <c r="J69" s="58">
        <v>0.91500000000000004</v>
      </c>
      <c r="K69" s="58">
        <v>0.86199999999999999</v>
      </c>
    </row>
    <row r="70" spans="1:13" s="4" customFormat="1" ht="18.75" x14ac:dyDescent="0.3">
      <c r="D70" s="50"/>
      <c r="E70" s="50"/>
      <c r="F70" s="31"/>
      <c r="G70" s="42" t="s">
        <v>62</v>
      </c>
      <c r="H70" s="74" t="s">
        <v>99</v>
      </c>
      <c r="I70" s="74"/>
      <c r="J70" s="74"/>
      <c r="K70" s="74"/>
    </row>
    <row r="71" spans="1:13" s="4" customFormat="1" ht="18.75" x14ac:dyDescent="0.3">
      <c r="D71" s="50"/>
      <c r="E71" s="50"/>
      <c r="F71" s="31"/>
      <c r="H71" s="43"/>
      <c r="I71" s="43"/>
      <c r="J71" s="50"/>
    </row>
    <row r="72" spans="1:13" s="4" customFormat="1" ht="18.75" x14ac:dyDescent="0.3">
      <c r="D72" s="50"/>
      <c r="E72" s="50"/>
      <c r="F72" s="31"/>
      <c r="H72" s="43"/>
      <c r="I72" s="43"/>
      <c r="J72" s="50"/>
    </row>
    <row r="73" spans="1:13" s="4" customFormat="1" ht="18.75" x14ac:dyDescent="0.3">
      <c r="D73" s="50"/>
      <c r="E73" s="50"/>
      <c r="F73" s="31"/>
      <c r="H73" s="43"/>
      <c r="I73" s="43"/>
      <c r="J73" s="50"/>
    </row>
    <row r="74" spans="1:13" s="4" customFormat="1" ht="18.75" x14ac:dyDescent="0.3">
      <c r="D74" s="50"/>
      <c r="E74" s="50"/>
      <c r="F74" s="31"/>
      <c r="H74" s="43"/>
      <c r="I74" s="43"/>
      <c r="J74" s="50"/>
      <c r="K74" s="1"/>
    </row>
    <row r="75" spans="1:13" s="4" customFormat="1" ht="18.75" x14ac:dyDescent="0.3">
      <c r="D75" s="50"/>
      <c r="E75" s="50"/>
      <c r="F75" s="31"/>
      <c r="G75" s="1"/>
      <c r="H75" s="2"/>
      <c r="I75" s="2"/>
      <c r="J75" s="51"/>
      <c r="K75" s="1"/>
    </row>
    <row r="76" spans="1:13" s="4" customFormat="1" ht="18.75" x14ac:dyDescent="0.3">
      <c r="D76" s="50"/>
      <c r="E76" s="50"/>
      <c r="G76" s="1"/>
      <c r="H76" s="3"/>
      <c r="I76" s="3"/>
      <c r="J76" s="51"/>
      <c r="K76" s="1"/>
    </row>
    <row r="77" spans="1:13" s="4" customFormat="1" ht="18.75" x14ac:dyDescent="0.3">
      <c r="D77" s="50"/>
      <c r="E77" s="50"/>
      <c r="G77" s="1"/>
      <c r="H77" s="1"/>
      <c r="I77" s="1"/>
      <c r="J77" s="51"/>
      <c r="K77" s="1"/>
    </row>
    <row r="78" spans="1:13" s="4" customFormat="1" ht="18.75" x14ac:dyDescent="0.3">
      <c r="D78" s="50"/>
      <c r="E78" s="50"/>
      <c r="G78" s="1"/>
      <c r="H78" s="1"/>
      <c r="I78" s="1"/>
      <c r="J78" s="51"/>
      <c r="K78" s="1"/>
    </row>
    <row r="79" spans="1:13" s="4" customFormat="1" ht="18.75" x14ac:dyDescent="0.3">
      <c r="A79" s="1"/>
      <c r="B79" s="1"/>
      <c r="C79" s="1"/>
      <c r="D79" s="51"/>
      <c r="E79" s="51"/>
      <c r="G79" s="1"/>
      <c r="H79" s="1"/>
      <c r="I79" s="1"/>
      <c r="J79" s="51"/>
      <c r="K79" s="1"/>
    </row>
    <row r="86" hidden="1" x14ac:dyDescent="0.25"/>
  </sheetData>
  <mergeCells count="11">
    <mergeCell ref="A52:E52"/>
    <mergeCell ref="G51:K51"/>
    <mergeCell ref="H70:K70"/>
    <mergeCell ref="A1:K1"/>
    <mergeCell ref="A2:K2"/>
    <mergeCell ref="A33:E33"/>
    <mergeCell ref="G3:K3"/>
    <mergeCell ref="A32:D32"/>
    <mergeCell ref="A41:D41"/>
    <mergeCell ref="A46:D46"/>
    <mergeCell ref="A3:E3"/>
  </mergeCells>
  <printOptions horizontalCentered="1"/>
  <pageMargins left="0" right="0" top="0" bottom="0" header="0" footer="0"/>
  <pageSetup paperSize="9" scale="54" fitToWidth="0" orientation="landscape" r:id="rId1"/>
  <ignoredErrors>
    <ignoredError sqref="C39 B39 H17:I1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Consolidated</vt:lpstr>
      <vt:lpstr>Consolidated!Print_Area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2022-04-21T08:47:11Z</dcterms:created>
  <dcterms:modified xsi:type="dcterms:W3CDTF">2026-06-22T10:43:42Z</dcterms:modified>
</cp:coreProperties>
</file>