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mit\OneDrive\Desktop\Valorem\workings\rashi peripherals\"/>
    </mc:Choice>
  </mc:AlternateContent>
  <xr:revisionPtr revIDLastSave="0" documentId="13_ncr:1_{E6C2F49D-0ED7-44AE-8564-BE08507634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sol Latest" sheetId="11" r:id="rId1"/>
    <sheet name="Sheet1" sheetId="9" state="hidden" r:id="rId2"/>
  </sheets>
  <definedNames>
    <definedName name="_xlnm.Print_Area" localSheetId="0">'Consol Latest'!$J$3:$P$76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1" l="1"/>
  <c r="G32" i="11"/>
  <c r="G25" i="11"/>
  <c r="G23" i="11"/>
  <c r="G17" i="11"/>
  <c r="G16" i="11"/>
  <c r="G15" i="11"/>
  <c r="G8" i="11"/>
  <c r="G7" i="11"/>
  <c r="P76" i="11"/>
  <c r="P75" i="11"/>
  <c r="P74" i="11"/>
  <c r="P73" i="11"/>
  <c r="P72" i="11"/>
  <c r="P71" i="11"/>
  <c r="P70" i="11"/>
  <c r="P69" i="11"/>
  <c r="P67" i="11"/>
  <c r="P66" i="11"/>
  <c r="P65" i="11"/>
  <c r="P64" i="11"/>
  <c r="P63" i="11"/>
  <c r="P62" i="11"/>
  <c r="P61" i="11"/>
  <c r="P59" i="11"/>
  <c r="P58" i="11"/>
  <c r="P24" i="11"/>
  <c r="P7" i="11"/>
  <c r="P8" i="11"/>
  <c r="G57" i="11"/>
  <c r="G55" i="11"/>
  <c r="G48" i="11"/>
  <c r="G49" i="11"/>
  <c r="G47" i="11"/>
  <c r="G42" i="11"/>
  <c r="G44" i="11" s="1"/>
  <c r="G28" i="11"/>
  <c r="G53" i="11"/>
  <c r="F44" i="11"/>
  <c r="P9" i="11"/>
  <c r="O9" i="11"/>
  <c r="O8" i="11"/>
  <c r="P45" i="11"/>
  <c r="O43" i="11"/>
  <c r="P37" i="11"/>
  <c r="P13" i="11"/>
  <c r="F33" i="11"/>
  <c r="E32" i="11"/>
  <c r="G21" i="11"/>
  <c r="E15" i="11"/>
  <c r="F15" i="11"/>
  <c r="G14" i="11"/>
  <c r="F8" i="11"/>
  <c r="D7" i="11"/>
  <c r="E7" i="11"/>
  <c r="F7" i="11"/>
  <c r="D44" i="11"/>
  <c r="E44" i="11"/>
  <c r="D42" i="11"/>
  <c r="F16" i="11"/>
  <c r="B24" i="11"/>
  <c r="B28" i="11"/>
  <c r="F42" i="11"/>
  <c r="E42" i="11"/>
  <c r="F48" i="11"/>
  <c r="E48" i="11"/>
  <c r="F57" i="11"/>
  <c r="G56" i="11" l="1"/>
  <c r="G58" i="11" s="1"/>
  <c r="D32" i="11"/>
  <c r="F32" i="11"/>
  <c r="C32" i="11"/>
  <c r="O58" i="11"/>
  <c r="N58" i="11"/>
  <c r="M58" i="11"/>
  <c r="L58" i="11"/>
  <c r="K58" i="11"/>
  <c r="K70" i="11"/>
  <c r="N8" i="11" l="1"/>
  <c r="M8" i="11"/>
  <c r="N7" i="11"/>
  <c r="O7" i="11"/>
  <c r="O59" i="11" s="1"/>
  <c r="O37" i="11"/>
  <c r="N37" i="11"/>
  <c r="O46" i="11"/>
  <c r="N46" i="11"/>
  <c r="N35" i="11"/>
  <c r="O35" i="11"/>
  <c r="M11" i="11"/>
  <c r="B57" i="11"/>
  <c r="C57" i="11"/>
  <c r="D57" i="11"/>
  <c r="D48" i="11"/>
  <c r="C48" i="11"/>
  <c r="B48" i="11"/>
  <c r="C42" i="11"/>
  <c r="B42" i="11"/>
  <c r="B44" i="11" s="1"/>
  <c r="K24" i="11"/>
  <c r="K13" i="11"/>
  <c r="K53" i="11" s="1"/>
  <c r="K8" i="11"/>
  <c r="K7" i="11"/>
  <c r="K11" i="11"/>
  <c r="K9" i="11" s="1"/>
  <c r="B56" i="11" s="1"/>
  <c r="M24" i="11"/>
  <c r="L24" i="11"/>
  <c r="M37" i="11"/>
  <c r="M34" i="11" s="1"/>
  <c r="L37" i="11"/>
  <c r="L34" i="11" s="1"/>
  <c r="K37" i="11"/>
  <c r="K34" i="11" s="1"/>
  <c r="K46" i="11"/>
  <c r="K45" i="11" s="1"/>
  <c r="M7" i="11"/>
  <c r="L7" i="11"/>
  <c r="K75" i="11"/>
  <c r="K71" i="11"/>
  <c r="K69" i="11"/>
  <c r="K61" i="11"/>
  <c r="L13" i="11"/>
  <c r="B22" i="11"/>
  <c r="N34" i="11" l="1"/>
  <c r="O34" i="11"/>
  <c r="K44" i="11"/>
  <c r="K54" i="11" s="1"/>
  <c r="K72" i="11"/>
  <c r="L70" i="11"/>
  <c r="K43" i="11"/>
  <c r="C22" i="11"/>
  <c r="B6" i="11"/>
  <c r="C6" i="11"/>
  <c r="F22" i="11"/>
  <c r="F14" i="11"/>
  <c r="F17" i="11" s="1"/>
  <c r="C7" i="11" l="1"/>
  <c r="O69" i="11"/>
  <c r="P34" i="11" l="1"/>
  <c r="P44" i="11"/>
  <c r="P54" i="11" l="1"/>
  <c r="P53" i="11"/>
  <c r="P12" i="11" s="1"/>
  <c r="P43" i="11"/>
  <c r="O71" i="11"/>
  <c r="O45" i="11"/>
  <c r="N71" i="11"/>
  <c r="F6" i="11"/>
  <c r="G6" i="11" l="1"/>
  <c r="O74" i="11"/>
  <c r="O75" i="11"/>
  <c r="F21" i="11"/>
  <c r="F56" i="11"/>
  <c r="F47" i="11"/>
  <c r="F49" i="11" s="1"/>
  <c r="N45" i="11"/>
  <c r="O44" i="11"/>
  <c r="O54" i="11" s="1"/>
  <c r="O24" i="11"/>
  <c r="O13" i="11"/>
  <c r="F55" i="11"/>
  <c r="N44" i="11"/>
  <c r="N54" i="11" s="1"/>
  <c r="L44" i="11"/>
  <c r="M9" i="11"/>
  <c r="D56" i="11" s="1"/>
  <c r="O70" i="11"/>
  <c r="O72" i="11" s="1"/>
  <c r="N24" i="11"/>
  <c r="N13" i="11"/>
  <c r="N9" i="11"/>
  <c r="E57" i="11"/>
  <c r="E47" i="11"/>
  <c r="E49" i="11" s="1"/>
  <c r="M61" i="11"/>
  <c r="D55" i="11"/>
  <c r="M69" i="11"/>
  <c r="N53" i="11" l="1"/>
  <c r="O62" i="11"/>
  <c r="N66" i="11"/>
  <c r="N59" i="11"/>
  <c r="N62" i="11" s="1"/>
  <c r="N70" i="11"/>
  <c r="O73" i="11"/>
  <c r="F58" i="11"/>
  <c r="O63" i="11" s="1"/>
  <c r="F24" i="11"/>
  <c r="O64" i="11" s="1"/>
  <c r="F23" i="11"/>
  <c r="O66" i="11"/>
  <c r="O67" i="11"/>
  <c r="E56" i="11"/>
  <c r="N67" i="11"/>
  <c r="E14" i="11"/>
  <c r="N69" i="11"/>
  <c r="N75" i="11"/>
  <c r="F38" i="11"/>
  <c r="O76" i="11"/>
  <c r="N74" i="11"/>
  <c r="O53" i="11"/>
  <c r="M45" i="11"/>
  <c r="M44" i="11"/>
  <c r="M71" i="11"/>
  <c r="M70" i="11"/>
  <c r="D6" i="11"/>
  <c r="D14" i="11"/>
  <c r="E55" i="11"/>
  <c r="E6" i="11"/>
  <c r="M74" i="11"/>
  <c r="M13" i="11"/>
  <c r="N73" i="11" s="1"/>
  <c r="M75" i="11"/>
  <c r="G38" i="11" l="1"/>
  <c r="O12" i="11"/>
  <c r="O65" i="11" s="1"/>
  <c r="N43" i="11"/>
  <c r="N12" i="11"/>
  <c r="N65" i="11" s="1"/>
  <c r="N72" i="11"/>
  <c r="F25" i="11"/>
  <c r="G24" i="11"/>
  <c r="M76" i="11"/>
  <c r="E17" i="11"/>
  <c r="N76" i="11"/>
  <c r="E21" i="11"/>
  <c r="E58" i="11"/>
  <c r="N63" i="11" s="1"/>
  <c r="M53" i="11"/>
  <c r="M72" i="11"/>
  <c r="D47" i="11"/>
  <c r="D49" i="11" s="1"/>
  <c r="M73" i="11"/>
  <c r="M66" i="11"/>
  <c r="M59" i="11"/>
  <c r="E23" i="11" l="1"/>
  <c r="E24" i="11"/>
  <c r="N64" i="11" s="1"/>
  <c r="N61" i="11"/>
  <c r="M12" i="11"/>
  <c r="M65" i="11" s="1"/>
  <c r="M54" i="11"/>
  <c r="M62" i="11"/>
  <c r="M67" i="11"/>
  <c r="M43" i="11"/>
  <c r="D58" i="11"/>
  <c r="M63" i="11" s="1"/>
  <c r="L71" i="11"/>
  <c r="E25" i="11" l="1"/>
  <c r="E28" i="11"/>
  <c r="D21" i="11"/>
  <c r="L61" i="11"/>
  <c r="L45" i="11"/>
  <c r="K73" i="11"/>
  <c r="L11" i="11"/>
  <c r="L8" i="11"/>
  <c r="O61" i="11" l="1"/>
  <c r="D23" i="11"/>
  <c r="L9" i="11"/>
  <c r="L43" i="11"/>
  <c r="L53" i="11"/>
  <c r="L54" i="11"/>
  <c r="K12" i="11"/>
  <c r="L74" i="11" l="1"/>
  <c r="L66" i="11"/>
  <c r="K74" i="11"/>
  <c r="K66" i="11"/>
  <c r="K67" i="11"/>
  <c r="C56" i="11"/>
  <c r="L67" i="11"/>
  <c r="L12" i="11"/>
  <c r="C14" i="11" l="1"/>
  <c r="L73" i="11"/>
  <c r="B14" i="11"/>
  <c r="K65" i="11" s="1"/>
  <c r="L69" i="11"/>
  <c r="L72" i="11" s="1"/>
  <c r="L75" i="11"/>
  <c r="K59" i="11"/>
  <c r="K62" i="11" s="1"/>
  <c r="L59" i="11"/>
  <c r="K76" i="11" l="1"/>
  <c r="B21" i="11"/>
  <c r="K64" i="11" s="1"/>
  <c r="L76" i="11"/>
  <c r="C21" i="11"/>
  <c r="C24" i="11" s="1"/>
  <c r="D15" i="11"/>
  <c r="C55" i="11"/>
  <c r="L62" i="11"/>
  <c r="B55" i="11"/>
  <c r="L65" i="11"/>
  <c r="B25" i="11" l="1"/>
  <c r="L64" i="11"/>
  <c r="C28" i="11"/>
  <c r="D24" i="11"/>
  <c r="D25" i="11" l="1"/>
  <c r="M64" i="11"/>
  <c r="D28" i="11"/>
  <c r="D17" i="11"/>
  <c r="C17" i="11"/>
  <c r="C38" i="11" l="1"/>
  <c r="C44" i="11" s="1"/>
  <c r="C23" i="11"/>
  <c r="B47" i="11"/>
  <c r="B49" i="11" s="1"/>
  <c r="C47" i="11"/>
  <c r="C49" i="11" s="1"/>
  <c r="C25" i="11" l="1"/>
  <c r="C58" i="11" l="1"/>
  <c r="L63" i="11" s="1"/>
  <c r="B58" i="11" l="1"/>
  <c r="K63" i="11" s="1"/>
  <c r="C15" i="11"/>
  <c r="B17" i="11" l="1"/>
  <c r="B23" i="11" l="1"/>
  <c r="F39" i="9" l="1"/>
  <c r="E39" i="9"/>
  <c r="D39" i="9"/>
  <c r="C39" i="9"/>
  <c r="F20" i="9"/>
  <c r="E20" i="9"/>
  <c r="D20" i="9"/>
  <c r="C20" i="9"/>
  <c r="F19" i="9"/>
  <c r="E19" i="9"/>
  <c r="D19" i="9"/>
  <c r="C19" i="9"/>
  <c r="F17" i="9"/>
  <c r="E17" i="9"/>
  <c r="D17" i="9"/>
  <c r="C17" i="9"/>
  <c r="F13" i="9"/>
  <c r="E13" i="9"/>
  <c r="D13" i="9"/>
  <c r="C13" i="9"/>
  <c r="B13" i="9"/>
  <c r="F10" i="9"/>
  <c r="E10" i="9"/>
  <c r="D10" i="9"/>
  <c r="C10" i="9"/>
  <c r="F7" i="9"/>
  <c r="E7" i="9"/>
  <c r="D7" i="9"/>
  <c r="C7" i="9"/>
  <c r="F5" i="9"/>
  <c r="E5" i="9"/>
  <c r="D5" i="9"/>
  <c r="C5" i="9"/>
  <c r="C12" i="9" l="1"/>
  <c r="D9" i="9"/>
  <c r="D12" i="9"/>
  <c r="E9" i="9"/>
  <c r="E12" i="9"/>
  <c r="C9" i="9"/>
  <c r="F9" i="9"/>
  <c r="F12" i="9"/>
  <c r="B5" i="9" l="1"/>
  <c r="F43" i="9"/>
  <c r="D43" i="9"/>
  <c r="E45" i="9"/>
  <c r="C45" i="9"/>
  <c r="F44" i="9"/>
  <c r="D44" i="9"/>
  <c r="B33" i="9"/>
  <c r="B32" i="9"/>
  <c r="B27" i="9"/>
  <c r="C42" i="9"/>
  <c r="F46" i="9"/>
  <c r="D46" i="9"/>
  <c r="B18" i="9"/>
  <c r="E52" i="9" l="1"/>
  <c r="D42" i="9"/>
  <c r="C52" i="9"/>
  <c r="E43" i="9"/>
  <c r="E51" i="9"/>
  <c r="C47" i="9"/>
  <c r="C46" i="9"/>
  <c r="E48" i="9"/>
  <c r="E11" i="9"/>
  <c r="D27" i="9"/>
  <c r="C32" i="9"/>
  <c r="C40" i="9"/>
  <c r="C41" i="9"/>
  <c r="F33" i="9"/>
  <c r="E44" i="9"/>
  <c r="F51" i="9"/>
  <c r="F6" i="9"/>
  <c r="D45" i="9"/>
  <c r="C43" i="9"/>
  <c r="C51" i="9"/>
  <c r="C6" i="9"/>
  <c r="E18" i="9"/>
  <c r="D8" i="9"/>
  <c r="E8" i="9"/>
  <c r="D48" i="9"/>
  <c r="D11" i="9"/>
  <c r="C27" i="9"/>
  <c r="F32" i="9"/>
  <c r="F40" i="9"/>
  <c r="F41" i="9"/>
  <c r="E33" i="9"/>
  <c r="F18" i="9"/>
  <c r="D6" i="9"/>
  <c r="C18" i="9"/>
  <c r="E42" i="9"/>
  <c r="F8" i="9"/>
  <c r="F48" i="9"/>
  <c r="F11" i="9"/>
  <c r="E27" i="9"/>
  <c r="D32" i="9"/>
  <c r="D40" i="9"/>
  <c r="D41" i="9"/>
  <c r="F42" i="9"/>
  <c r="C33" i="9"/>
  <c r="E6" i="9"/>
  <c r="D18" i="9"/>
  <c r="C8" i="9"/>
  <c r="C48" i="9"/>
  <c r="C11" i="9"/>
  <c r="F27" i="9"/>
  <c r="E32" i="9"/>
  <c r="E40" i="9"/>
  <c r="E41" i="9"/>
  <c r="C49" i="9"/>
  <c r="D33" i="9"/>
  <c r="C44" i="9"/>
  <c r="E47" i="9"/>
  <c r="E46" i="9"/>
  <c r="D51" i="9"/>
  <c r="B6" i="9"/>
  <c r="B44" i="9"/>
  <c r="B45" i="9"/>
  <c r="B20" i="9"/>
  <c r="B19" i="9"/>
  <c r="D47" i="9"/>
  <c r="F28" i="9" l="1"/>
  <c r="D52" i="9"/>
  <c r="F47" i="9"/>
  <c r="F45" i="9"/>
  <c r="C28" i="9"/>
  <c r="D49" i="9"/>
  <c r="C50" i="9"/>
  <c r="E49" i="9"/>
  <c r="F34" i="9"/>
  <c r="E50" i="9"/>
  <c r="C34" i="9"/>
  <c r="F49" i="9"/>
  <c r="E28" i="9"/>
  <c r="F50" i="9"/>
  <c r="D28" i="9"/>
  <c r="D50" i="9"/>
  <c r="E34" i="9"/>
  <c r="D34" i="9"/>
  <c r="F52" i="9"/>
  <c r="B47" i="9"/>
  <c r="B43" i="9"/>
  <c r="B46" i="9"/>
  <c r="B52" i="9"/>
  <c r="D35" i="9" l="1"/>
  <c r="C35" i="9"/>
  <c r="E35" i="9"/>
  <c r="F35" i="9"/>
  <c r="B28" i="9" l="1"/>
  <c r="B48" i="9" l="1"/>
  <c r="B39" i="9" l="1"/>
  <c r="B17" i="9"/>
  <c r="B7" i="9"/>
  <c r="B9" i="9" s="1"/>
  <c r="B50" i="9" l="1"/>
  <c r="B49" i="9"/>
  <c r="B40" i="9"/>
  <c r="B8" i="9" l="1"/>
  <c r="B35" i="9"/>
  <c r="B34" i="9"/>
  <c r="B10" i="9"/>
  <c r="B12" i="9" s="1"/>
  <c r="B42" i="9" l="1"/>
  <c r="B51" i="9"/>
  <c r="B41" i="9" l="1"/>
  <c r="B11" i="9"/>
</calcChain>
</file>

<file path=xl/sharedStrings.xml><?xml version="1.0" encoding="utf-8"?>
<sst xmlns="http://schemas.openxmlformats.org/spreadsheetml/2006/main" count="219" uniqueCount="156">
  <si>
    <t>Growth (%)</t>
  </si>
  <si>
    <t>EBITDA</t>
  </si>
  <si>
    <t>EBITDA margin (%)</t>
  </si>
  <si>
    <t>Other Income</t>
  </si>
  <si>
    <t>Depreciation</t>
  </si>
  <si>
    <t>Interest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</si>
  <si>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</si>
  <si>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</si>
  <si>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</si>
  <si>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</si>
  <si>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</si>
  <si>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</si>
  <si>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</si>
  <si>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Net Inc./(Dec.) in Cash and Cash Equivalent</t>
  </si>
  <si>
    <t>Our Calculations</t>
  </si>
  <si>
    <t>Capital Expenditure</t>
  </si>
  <si>
    <t>FCF</t>
  </si>
  <si>
    <t>Inventories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</si>
  <si>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</si>
  <si>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</si>
  <si>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</si>
  <si>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</si>
  <si>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</si>
  <si>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</si>
  <si>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</si>
  <si>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</si>
  <si>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</si>
  <si>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</si>
  <si>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</si>
  <si>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</si>
  <si>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</si>
  <si>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</si>
  <si>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</si>
  <si>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</si>
  <si>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Expenses</t>
  </si>
  <si>
    <t>Cash and Cash Equivalents at End of the year</t>
  </si>
  <si>
    <t>Market Cap</t>
  </si>
  <si>
    <t>Cash</t>
  </si>
  <si>
    <t>EV</t>
  </si>
  <si>
    <t>Total Debt</t>
  </si>
  <si>
    <t>PAT margin (%)</t>
  </si>
  <si>
    <t>Cash Conversion cycle</t>
  </si>
  <si>
    <t>Interest Cost</t>
  </si>
  <si>
    <t>TOTAL ASSETS</t>
  </si>
  <si>
    <t>Income Statement</t>
  </si>
  <si>
    <t>Purchase of stock in trade</t>
  </si>
  <si>
    <t>Change in Inventory and finished good</t>
  </si>
  <si>
    <t>Capital Work in Progress</t>
  </si>
  <si>
    <t xml:space="preserve">Captain Polyplast </t>
  </si>
  <si>
    <t xml:space="preserve">Jain Irrigation </t>
  </si>
  <si>
    <t>EPC Industri</t>
  </si>
  <si>
    <t>Kriti Industries</t>
  </si>
  <si>
    <t>Texmo Pipes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</si>
  <si>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</si>
  <si>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</si>
  <si>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</si>
  <si>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</si>
  <si>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</si>
  <si>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</si>
  <si>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</si>
  <si>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</si>
  <si>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</si>
  <si>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</si>
  <si>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</si>
  <si>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</si>
  <si>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</si>
  <si>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</si>
  <si>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</si>
  <si>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CMP (As on 31st March 2019)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</si>
  <si>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</si>
  <si>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</si>
  <si>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</si>
  <si>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</si>
  <si>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</si>
  <si>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</si>
  <si>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</si>
  <si>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</si>
  <si>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</si>
  <si>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</si>
  <si>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</si>
  <si>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</si>
  <si>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P&amp;L Comparision (As on FY19)</t>
  </si>
  <si>
    <t>Peer Comparison Analysis - Captain Polyplast  Ltd.</t>
  </si>
  <si>
    <t>FY21</t>
  </si>
  <si>
    <t>CAGR (%) - 3 Years</t>
  </si>
  <si>
    <t>Property, Plant and Equipments</t>
  </si>
  <si>
    <t>-</t>
  </si>
  <si>
    <t>Other Non-Current Assets</t>
  </si>
  <si>
    <t xml:space="preserve"> Trade Receivables</t>
  </si>
  <si>
    <t>Cash and Cash Equivalents</t>
  </si>
  <si>
    <t>Other Financial Assets</t>
  </si>
  <si>
    <t>Provisions</t>
  </si>
  <si>
    <t>Other Current Liabilities</t>
  </si>
  <si>
    <t>Operating CFO</t>
  </si>
  <si>
    <t>FY22</t>
  </si>
  <si>
    <t>Income Statement (INR Mn)</t>
  </si>
  <si>
    <t>Goodwill</t>
  </si>
  <si>
    <t>Deferred Tax Assets (Net)</t>
  </si>
  <si>
    <t>Total Non-Current Assets</t>
  </si>
  <si>
    <t xml:space="preserve">Financial Liabilities </t>
  </si>
  <si>
    <t xml:space="preserve">Total Current Liabilities </t>
  </si>
  <si>
    <t>TOTAL EQUITY &amp; LIABILITIES</t>
  </si>
  <si>
    <t xml:space="preserve">Deffered Tax liabilities </t>
  </si>
  <si>
    <t xml:space="preserve">Other Current Assets </t>
  </si>
  <si>
    <t>Total Equity</t>
  </si>
  <si>
    <t>Investments</t>
  </si>
  <si>
    <t>Total Current Assets</t>
  </si>
  <si>
    <t>Total Income</t>
  </si>
  <si>
    <t>Operating revenue</t>
  </si>
  <si>
    <t>Exceptional Item</t>
  </si>
  <si>
    <t>PAT for the year</t>
  </si>
  <si>
    <t xml:space="preserve">Other comprehensive Income after tax </t>
  </si>
  <si>
    <t>Right of use</t>
  </si>
  <si>
    <t xml:space="preserve">Borrowings </t>
  </si>
  <si>
    <t xml:space="preserve">Trade Payables </t>
  </si>
  <si>
    <t>Current Tax Liabilities (Net)</t>
  </si>
  <si>
    <t>Net Cash From Operating Activities</t>
  </si>
  <si>
    <t>Net Cash from Investing Activities</t>
  </si>
  <si>
    <t>Net Cash from Financing Activities</t>
  </si>
  <si>
    <t>Net worth</t>
  </si>
  <si>
    <t>Balancesheet (INR. Mn)</t>
  </si>
  <si>
    <t>Y/E, Mar (INR. Mn)</t>
  </si>
  <si>
    <t>No. of Shares (INR. Mn)</t>
  </si>
  <si>
    <t>CMP(INR)</t>
  </si>
  <si>
    <t xml:space="preserve">Other Non-current liabilities </t>
  </si>
  <si>
    <t>Lease liabilities</t>
  </si>
  <si>
    <t>Other financial liabilities</t>
  </si>
  <si>
    <t xml:space="preserve">Total Non-Current Liabilities </t>
  </si>
  <si>
    <t>FV per share</t>
  </si>
  <si>
    <t>Bank Balance other than Cash and Cash Equivalents</t>
  </si>
  <si>
    <t>Net Current Assets</t>
  </si>
  <si>
    <t xml:space="preserve">PBT </t>
  </si>
  <si>
    <t xml:space="preserve">Total comprehensive Income </t>
  </si>
  <si>
    <t>Share Capital</t>
  </si>
  <si>
    <t>Other Equity</t>
  </si>
  <si>
    <t xml:space="preserve"> Long-term Debt</t>
  </si>
  <si>
    <t>Short term debt</t>
  </si>
  <si>
    <t xml:space="preserve">Total Capital Employed (Assets) </t>
  </si>
  <si>
    <t>Borrowings</t>
  </si>
  <si>
    <t>Interest coverage Ratio</t>
  </si>
  <si>
    <t xml:space="preserve"> FY23</t>
  </si>
  <si>
    <t>FY23</t>
  </si>
  <si>
    <t>Cost of material consumed</t>
  </si>
  <si>
    <t>Fixed Assets Turnover Ratio</t>
  </si>
  <si>
    <t>FY24</t>
  </si>
  <si>
    <t>FY25</t>
  </si>
  <si>
    <t>Rashi Peripherals Summary Sheet</t>
  </si>
  <si>
    <t>Intangible Assets</t>
  </si>
  <si>
    <t>Non-current Tax Assets</t>
  </si>
  <si>
    <t>Loans</t>
  </si>
  <si>
    <t>Contract Liabilities</t>
  </si>
  <si>
    <t>Effects of foreign exchange rate changes</t>
  </si>
  <si>
    <t>Basic EPS</t>
  </si>
  <si>
    <t>Diluted EPS</t>
  </si>
  <si>
    <t>FY26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</si>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</sst>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0.0%"/>
    <numFmt numFmtId="166" formatCode="_ * #,##0.0_ ;_ * \-#,##0.0_ ;_ * &quot;-&quot;??_ ;_ @_ "/>
    <numFmt numFmtId="167" formatCode="_ * #,##0.000_ ;_ * \-#,##0.000_ ;_ * &quot;-&quot;??_ ;_ @_ "/>
  </numFmts>
  <fonts count="2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rgb="FF000000"/>
      <name val="MyFirstFont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167" fontId="3" fillId="0" borderId="0" xfId="0" applyNumberFormat="1" applyFont="1"/>
    <xf numFmtId="0" fontId="0" fillId="0" borderId="1" xfId="0" applyBorder="1"/>
    <xf numFmtId="2" fontId="0" fillId="0" borderId="1" xfId="0" applyNumberFormat="1" applyBorder="1"/>
    <xf numFmtId="0" fontId="10" fillId="6" borderId="8" xfId="0" applyFont="1" applyFill="1" applyBorder="1" applyAlignment="1">
      <alignment horizontal="center" wrapText="1"/>
    </xf>
    <xf numFmtId="0" fontId="9" fillId="4" borderId="8" xfId="0" applyFont="1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11" xfId="0" applyFill="1" applyBorder="1"/>
    <xf numFmtId="0" fontId="0" fillId="4" borderId="8" xfId="0" applyFill="1" applyBorder="1"/>
    <xf numFmtId="2" fontId="0" fillId="4" borderId="1" xfId="0" applyNumberFormat="1" applyFill="1" applyBorder="1"/>
    <xf numFmtId="2" fontId="9" fillId="4" borderId="1" xfId="0" applyNumberFormat="1" applyFont="1" applyFill="1" applyBorder="1"/>
    <xf numFmtId="10" fontId="9" fillId="0" borderId="1" xfId="1" applyNumberFormat="1" applyFont="1" applyFill="1" applyBorder="1"/>
    <xf numFmtId="10" fontId="9" fillId="0" borderId="1" xfId="1" applyNumberFormat="1" applyFont="1" applyFill="1" applyBorder="1" applyAlignment="1">
      <alignment horizontal="right"/>
    </xf>
    <xf numFmtId="0" fontId="0" fillId="4" borderId="12" xfId="0" applyFill="1" applyBorder="1"/>
    <xf numFmtId="0" fontId="0" fillId="4" borderId="0" xfId="0" applyFill="1"/>
    <xf numFmtId="0" fontId="0" fillId="4" borderId="13" xfId="0" applyFill="1" applyBorder="1"/>
    <xf numFmtId="0" fontId="0" fillId="4" borderId="8" xfId="0" applyFill="1" applyBorder="1" applyAlignment="1">
      <alignment horizontal="right"/>
    </xf>
    <xf numFmtId="2" fontId="9" fillId="0" borderId="1" xfId="0" applyNumberFormat="1" applyFont="1" applyBorder="1"/>
    <xf numFmtId="0" fontId="0" fillId="4" borderId="17" xfId="0" applyFill="1" applyBorder="1"/>
    <xf numFmtId="0" fontId="9" fillId="0" borderId="1" xfId="0" applyFont="1" applyBorder="1"/>
    <xf numFmtId="10" fontId="0" fillId="0" borderId="1" xfId="1" applyNumberFormat="1" applyFont="1" applyFill="1" applyBorder="1"/>
    <xf numFmtId="4" fontId="9" fillId="0" borderId="1" xfId="0" applyNumberFormat="1" applyFont="1" applyBorder="1"/>
    <xf numFmtId="164" fontId="0" fillId="0" borderId="1" xfId="0" applyNumberFormat="1" applyBorder="1"/>
    <xf numFmtId="10" fontId="0" fillId="0" borderId="1" xfId="0" applyNumberFormat="1" applyBorder="1"/>
    <xf numFmtId="2" fontId="0" fillId="0" borderId="1" xfId="1" applyNumberFormat="1" applyFont="1" applyFill="1" applyBorder="1"/>
    <xf numFmtId="1" fontId="4" fillId="0" borderId="1" xfId="2" applyNumberFormat="1" applyFont="1" applyFill="1" applyBorder="1" applyAlignment="1">
      <alignment horizontal="right"/>
    </xf>
    <xf numFmtId="1" fontId="0" fillId="0" borderId="1" xfId="2" applyNumberFormat="1" applyFont="1" applyFill="1" applyBorder="1" applyAlignment="1">
      <alignment horizontal="right"/>
    </xf>
    <xf numFmtId="1" fontId="0" fillId="0" borderId="1" xfId="2" applyNumberFormat="1" applyFont="1" applyFill="1" applyBorder="1"/>
    <xf numFmtId="2" fontId="0" fillId="0" borderId="1" xfId="2" applyNumberFormat="1" applyFont="1" applyFill="1" applyBorder="1"/>
    <xf numFmtId="10" fontId="0" fillId="0" borderId="18" xfId="1" applyNumberFormat="1" applyFont="1" applyFill="1" applyBorder="1"/>
    <xf numFmtId="0" fontId="6" fillId="0" borderId="0" xfId="0" applyFont="1" applyAlignment="1">
      <alignment horizontal="center"/>
    </xf>
    <xf numFmtId="166" fontId="13" fillId="3" borderId="1" xfId="2" applyNumberFormat="1" applyFont="1" applyFill="1" applyBorder="1" applyAlignment="1">
      <alignment horizontal="right"/>
    </xf>
    <xf numFmtId="166" fontId="14" fillId="3" borderId="1" xfId="2" applyNumberFormat="1" applyFont="1" applyFill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5" fillId="0" borderId="1" xfId="0" applyFont="1" applyBorder="1"/>
    <xf numFmtId="0" fontId="13" fillId="3" borderId="1" xfId="0" applyFont="1" applyFill="1" applyBorder="1"/>
    <xf numFmtId="166" fontId="13" fillId="3" borderId="1" xfId="2" applyNumberFormat="1" applyFont="1" applyFill="1" applyBorder="1"/>
    <xf numFmtId="0" fontId="16" fillId="3" borderId="1" xfId="0" applyFont="1" applyFill="1" applyBorder="1"/>
    <xf numFmtId="166" fontId="17" fillId="0" borderId="1" xfId="2" applyNumberFormat="1" applyFont="1" applyFill="1" applyBorder="1" applyAlignment="1"/>
    <xf numFmtId="166" fontId="14" fillId="3" borderId="1" xfId="2" applyNumberFormat="1" applyFont="1" applyFill="1" applyBorder="1"/>
    <xf numFmtId="0" fontId="18" fillId="3" borderId="1" xfId="0" applyFont="1" applyFill="1" applyBorder="1"/>
    <xf numFmtId="0" fontId="13" fillId="0" borderId="1" xfId="0" applyFont="1" applyBorder="1" applyAlignment="1">
      <alignment wrapText="1"/>
    </xf>
    <xf numFmtId="0" fontId="15" fillId="3" borderId="1" xfId="0" applyFont="1" applyFill="1" applyBorder="1"/>
    <xf numFmtId="166" fontId="13" fillId="0" borderId="1" xfId="2" applyNumberFormat="1" applyFont="1" applyBorder="1" applyAlignment="1">
      <alignment horizontal="right"/>
    </xf>
    <xf numFmtId="166" fontId="17" fillId="3" borderId="1" xfId="2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166" fontId="13" fillId="0" borderId="1" xfId="2" applyNumberFormat="1" applyFont="1" applyFill="1" applyBorder="1"/>
    <xf numFmtId="166" fontId="13" fillId="0" borderId="1" xfId="2" applyNumberFormat="1" applyFont="1" applyBorder="1"/>
    <xf numFmtId="166" fontId="15" fillId="0" borderId="1" xfId="2" applyNumberFormat="1" applyFont="1" applyBorder="1"/>
    <xf numFmtId="0" fontId="19" fillId="0" borderId="1" xfId="0" applyFont="1" applyBorder="1" applyAlignment="1">
      <alignment horizontal="right"/>
    </xf>
    <xf numFmtId="0" fontId="13" fillId="2" borderId="1" xfId="0" applyFont="1" applyFill="1" applyBorder="1"/>
    <xf numFmtId="166" fontId="17" fillId="3" borderId="1" xfId="2" applyNumberFormat="1" applyFont="1" applyFill="1" applyBorder="1"/>
    <xf numFmtId="43" fontId="0" fillId="0" borderId="0" xfId="0" applyNumberFormat="1"/>
    <xf numFmtId="0" fontId="17" fillId="3" borderId="1" xfId="0" applyFont="1" applyFill="1" applyBorder="1"/>
    <xf numFmtId="166" fontId="1" fillId="4" borderId="1" xfId="2" applyNumberFormat="1" applyFont="1" applyFill="1" applyBorder="1" applyAlignment="1">
      <alignment horizontal="left"/>
    </xf>
    <xf numFmtId="166" fontId="17" fillId="4" borderId="1" xfId="2" applyNumberFormat="1" applyFont="1" applyFill="1" applyBorder="1" applyAlignment="1">
      <alignment horizontal="right"/>
    </xf>
    <xf numFmtId="166" fontId="13" fillId="3" borderId="1" xfId="2" applyNumberFormat="1" applyFont="1" applyFill="1" applyBorder="1" applyAlignment="1">
      <alignment horizontal="left"/>
    </xf>
    <xf numFmtId="166" fontId="13" fillId="4" borderId="1" xfId="2" applyNumberFormat="1" applyFont="1" applyFill="1" applyBorder="1" applyAlignment="1">
      <alignment horizontal="left"/>
    </xf>
    <xf numFmtId="166" fontId="1" fillId="0" borderId="1" xfId="2" applyNumberFormat="1" applyFont="1" applyFill="1" applyBorder="1" applyAlignment="1">
      <alignment horizontal="right"/>
    </xf>
    <xf numFmtId="166" fontId="1" fillId="4" borderId="1" xfId="2" applyNumberFormat="1" applyFont="1" applyFill="1" applyBorder="1" applyAlignment="1">
      <alignment horizontal="right"/>
    </xf>
    <xf numFmtId="166" fontId="1" fillId="0" borderId="1" xfId="2" applyNumberFormat="1" applyFont="1" applyBorder="1" applyAlignment="1">
      <alignment horizontal="right"/>
    </xf>
    <xf numFmtId="166" fontId="11" fillId="8" borderId="1" xfId="0" applyNumberFormat="1" applyFont="1" applyFill="1" applyBorder="1" applyAlignment="1">
      <alignment horizontal="left"/>
    </xf>
    <xf numFmtId="166" fontId="16" fillId="3" borderId="1" xfId="2" applyNumberFormat="1" applyFont="1" applyFill="1" applyBorder="1" applyAlignment="1">
      <alignment horizontal="right"/>
    </xf>
    <xf numFmtId="166" fontId="16" fillId="3" borderId="1" xfId="2" applyNumberFormat="1" applyFont="1" applyFill="1" applyBorder="1"/>
    <xf numFmtId="166" fontId="12" fillId="7" borderId="1" xfId="2" applyNumberFormat="1" applyFont="1" applyFill="1" applyBorder="1" applyAlignment="1">
      <alignment horizontal="right" vertical="center" wrapText="1" readingOrder="1"/>
    </xf>
    <xf numFmtId="9" fontId="15" fillId="3" borderId="1" xfId="2" applyNumberFormat="1" applyFont="1" applyFill="1" applyBorder="1"/>
    <xf numFmtId="9" fontId="16" fillId="3" borderId="1" xfId="2" applyNumberFormat="1" applyFont="1" applyFill="1" applyBorder="1"/>
    <xf numFmtId="166" fontId="21" fillId="0" borderId="1" xfId="0" applyNumberFormat="1" applyFont="1" applyBorder="1"/>
    <xf numFmtId="43" fontId="17" fillId="4" borderId="1" xfId="2" applyFont="1" applyFill="1" applyBorder="1" applyAlignment="1">
      <alignment horizontal="right"/>
    </xf>
    <xf numFmtId="165" fontId="17" fillId="4" borderId="1" xfId="2" applyNumberFormat="1" applyFont="1" applyFill="1" applyBorder="1" applyAlignment="1">
      <alignment horizontal="right"/>
    </xf>
    <xf numFmtId="166" fontId="11" fillId="8" borderId="1" xfId="0" applyNumberFormat="1" applyFont="1" applyFill="1" applyBorder="1" applyAlignment="1">
      <alignment horizontal="right"/>
    </xf>
    <xf numFmtId="43" fontId="12" fillId="8" borderId="1" xfId="0" applyNumberFormat="1" applyFont="1" applyFill="1" applyBorder="1" applyAlignment="1">
      <alignment horizontal="right"/>
    </xf>
    <xf numFmtId="166" fontId="12" fillId="9" borderId="1" xfId="0" applyNumberFormat="1" applyFont="1" applyFill="1" applyBorder="1" applyAlignment="1">
      <alignment horizontal="left"/>
    </xf>
    <xf numFmtId="166" fontId="12" fillId="9" borderId="1" xfId="0" applyNumberFormat="1" applyFont="1" applyFill="1" applyBorder="1" applyAlignment="1">
      <alignment horizontal="right"/>
    </xf>
    <xf numFmtId="166" fontId="17" fillId="9" borderId="1" xfId="0" applyNumberFormat="1" applyFont="1" applyFill="1" applyBorder="1" applyAlignment="1">
      <alignment horizontal="right"/>
    </xf>
    <xf numFmtId="166" fontId="17" fillId="9" borderId="1" xfId="0" applyNumberFormat="1" applyFont="1" applyFill="1" applyBorder="1" applyAlignment="1">
      <alignment horizontal="left"/>
    </xf>
    <xf numFmtId="0" fontId="9" fillId="3" borderId="1" xfId="0" applyFont="1" applyFill="1" applyBorder="1"/>
    <xf numFmtId="0" fontId="20" fillId="0" borderId="0" xfId="0" applyFont="1" applyAlignment="1">
      <alignment horizontal="right"/>
    </xf>
    <xf numFmtId="166" fontId="1" fillId="0" borderId="1" xfId="2" applyNumberFormat="1" applyFont="1" applyFill="1" applyBorder="1"/>
    <xf numFmtId="164" fontId="21" fillId="0" borderId="1" xfId="0" applyNumberFormat="1" applyFont="1" applyBorder="1"/>
    <xf numFmtId="10" fontId="17" fillId="4" borderId="1" xfId="2" applyNumberFormat="1" applyFont="1" applyFill="1" applyBorder="1" applyAlignment="1">
      <alignment horizontal="right"/>
    </xf>
    <xf numFmtId="166" fontId="17" fillId="0" borderId="1" xfId="2" applyNumberFormat="1" applyFont="1" applyBorder="1"/>
    <xf numFmtId="165" fontId="22" fillId="3" borderId="1" xfId="1" applyNumberFormat="1" applyFont="1" applyFill="1" applyBorder="1"/>
    <xf numFmtId="166" fontId="14" fillId="3" borderId="1" xfId="2" applyNumberFormat="1" applyFont="1" applyFill="1" applyBorder="1" applyAlignment="1">
      <alignment horizontal="right" vertical="center" wrapText="1" readingOrder="1"/>
    </xf>
    <xf numFmtId="9" fontId="22" fillId="3" borderId="1" xfId="1" applyFont="1" applyFill="1" applyBorder="1"/>
    <xf numFmtId="165" fontId="14" fillId="3" borderId="1" xfId="1" applyNumberFormat="1" applyFont="1" applyFill="1" applyBorder="1"/>
    <xf numFmtId="10" fontId="14" fillId="3" borderId="1" xfId="1" applyNumberFormat="1" applyFont="1" applyFill="1" applyBorder="1"/>
    <xf numFmtId="166" fontId="17" fillId="7" borderId="1" xfId="2" applyNumberFormat="1" applyFont="1" applyFill="1" applyBorder="1" applyAlignment="1">
      <alignment horizontal="right" vertical="center" wrapText="1" readingOrder="1"/>
    </xf>
    <xf numFmtId="10" fontId="23" fillId="3" borderId="1" xfId="2" applyNumberFormat="1" applyFont="1" applyFill="1" applyBorder="1" applyAlignment="1">
      <alignment horizontal="right"/>
    </xf>
    <xf numFmtId="43" fontId="0" fillId="0" borderId="0" xfId="2" applyFont="1"/>
    <xf numFmtId="0" fontId="13" fillId="3" borderId="1" xfId="0" applyFont="1" applyFill="1" applyBorder="1" applyAlignment="1">
      <alignment horizontal="right"/>
    </xf>
    <xf numFmtId="166" fontId="13" fillId="0" borderId="1" xfId="2" applyNumberFormat="1" applyFont="1" applyFill="1" applyBorder="1" applyAlignment="1">
      <alignment horizontal="left"/>
    </xf>
    <xf numFmtId="166" fontId="14" fillId="0" borderId="1" xfId="2" applyNumberFormat="1" applyFont="1" applyFill="1" applyBorder="1" applyAlignment="1">
      <alignment horizontal="right"/>
    </xf>
    <xf numFmtId="166" fontId="17" fillId="0" borderId="1" xfId="0" applyNumberFormat="1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166" fontId="13" fillId="0" borderId="2" xfId="2" applyNumberFormat="1" applyFont="1" applyFill="1" applyBorder="1"/>
    <xf numFmtId="166" fontId="1" fillId="0" borderId="2" xfId="2" applyNumberFormat="1" applyFont="1" applyFill="1" applyBorder="1"/>
    <xf numFmtId="166" fontId="14" fillId="3" borderId="2" xfId="2" applyNumberFormat="1" applyFont="1" applyFill="1" applyBorder="1"/>
    <xf numFmtId="166" fontId="14" fillId="3" borderId="2" xfId="2" applyNumberFormat="1" applyFont="1" applyFill="1" applyBorder="1" applyAlignment="1">
      <alignment horizontal="right"/>
    </xf>
    <xf numFmtId="0" fontId="20" fillId="0" borderId="1" xfId="0" applyFont="1" applyBorder="1" applyAlignment="1">
      <alignment horizontal="right"/>
    </xf>
    <xf numFmtId="164" fontId="15" fillId="0" borderId="1" xfId="0" applyNumberFormat="1" applyFont="1" applyBorder="1"/>
    <xf numFmtId="0" fontId="13" fillId="0" borderId="0" xfId="0" applyFont="1"/>
    <xf numFmtId="166" fontId="14" fillId="0" borderId="0" xfId="2" applyNumberFormat="1" applyFont="1" applyFill="1" applyBorder="1" applyAlignment="1">
      <alignment horizontal="right"/>
    </xf>
    <xf numFmtId="0" fontId="1" fillId="0" borderId="1" xfId="0" applyFont="1" applyBorder="1"/>
    <xf numFmtId="1" fontId="15" fillId="0" borderId="1" xfId="0" applyNumberFormat="1" applyFont="1" applyBorder="1"/>
    <xf numFmtId="166" fontId="17" fillId="0" borderId="1" xfId="2" applyNumberFormat="1" applyFont="1" applyBorder="1" applyAlignment="1">
      <alignment horizontal="right"/>
    </xf>
    <xf numFmtId="10" fontId="16" fillId="3" borderId="1" xfId="1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4" fontId="12" fillId="9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/>
    <xf numFmtId="0" fontId="24" fillId="0" borderId="0" xfId="0" applyFont="1" applyAlignment="1">
      <alignment horizontal="center"/>
    </xf>
    <xf numFmtId="9" fontId="22" fillId="3" borderId="1" xfId="1" applyFont="1" applyFill="1" applyBorder="1" applyAlignment="1">
      <alignment horizontal="center"/>
    </xf>
    <xf numFmtId="166" fontId="0" fillId="0" borderId="1" xfId="0" applyNumberFormat="1" applyBorder="1"/>
    <xf numFmtId="43" fontId="26" fillId="0" borderId="0" xfId="2" applyFont="1"/>
    <xf numFmtId="166" fontId="13" fillId="10" borderId="1" xfId="2" applyNumberFormat="1" applyFont="1" applyFill="1" applyBorder="1" applyAlignment="1">
      <alignment horizontal="right"/>
    </xf>
    <xf numFmtId="166" fontId="14" fillId="10" borderId="1" xfId="2" applyNumberFormat="1" applyFont="1" applyFill="1" applyBorder="1" applyAlignment="1">
      <alignment horizontal="right"/>
    </xf>
    <xf numFmtId="0" fontId="24" fillId="0" borderId="0" xfId="0" applyFont="1" applyAlignment="1">
      <alignment horizontal="center"/>
    </xf>
    <xf numFmtId="0" fontId="9" fillId="4" borderId="9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6" xfId="0" applyFill="1" applyBorder="1" applyAlignment="1">
      <alignment horizontal="center"/>
    </xf>
  </cellXfs>
  <cellStyles count="4">
    <cellStyle name="Comma" xfId="2" builtinId="3"/>
    <cellStyle name="Comma 2" xfId="3" xr:uid="{00000000-0005-0000-0000-000001000000}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6"/>
  <sheetViews>
    <sheetView tabSelected="1" zoomScale="111" zoomScaleNormal="71" workbookViewId="0">
      <pane ySplit="3" topLeftCell="A21" activePane="bottomLeft" state="frozen"/>
      <selection pane="bottomLeft" activeCell="G34" sqref="G34"/>
    </sheetView>
  </sheetViews>
  <sheetFormatPr defaultColWidth="8.6640625" defaultRowHeight="14.4"/>
  <cols>
    <col min="1" max="1" width="70.6640625" style="1" customWidth="1"/>
    <col min="2" max="2" width="16.109375" style="2" hidden="1" customWidth="1"/>
    <col min="3" max="3" width="17.44140625" hidden="1" customWidth="1"/>
    <col min="4" max="4" width="15.6640625" customWidth="1"/>
    <col min="5" max="5" width="17.33203125" bestFit="1" customWidth="1"/>
    <col min="6" max="6" width="18" bestFit="1" customWidth="1"/>
    <col min="7" max="7" width="18" customWidth="1"/>
    <col min="8" max="8" width="16.33203125" bestFit="1" customWidth="1"/>
    <col min="10" max="10" width="57.44140625" style="1" customWidth="1"/>
    <col min="11" max="11" width="16.44140625" style="1" hidden="1" customWidth="1"/>
    <col min="12" max="12" width="15.44140625" hidden="1" customWidth="1"/>
    <col min="13" max="13" width="17.33203125" customWidth="1"/>
    <col min="14" max="15" width="16.6640625" bestFit="1" customWidth="1"/>
    <col min="16" max="16" width="18" bestFit="1" customWidth="1"/>
    <col min="17" max="17" width="31" bestFit="1" customWidth="1"/>
    <col min="20" max="20" width="11.109375" bestFit="1" customWidth="1"/>
  </cols>
  <sheetData>
    <row r="1" spans="1:16">
      <c r="A1" s="125" t="s">
        <v>146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19"/>
    </row>
    <row r="2" spans="1:16">
      <c r="A2"/>
      <c r="B2" s="36"/>
      <c r="J2"/>
    </row>
    <row r="3" spans="1:16" ht="15.6">
      <c r="A3" s="39" t="s">
        <v>95</v>
      </c>
      <c r="B3" s="40" t="s">
        <v>83</v>
      </c>
      <c r="C3" s="41" t="s">
        <v>94</v>
      </c>
      <c r="D3" s="41" t="s">
        <v>140</v>
      </c>
      <c r="E3" s="41" t="s">
        <v>144</v>
      </c>
      <c r="F3" s="41" t="s">
        <v>145</v>
      </c>
      <c r="G3" s="41" t="s">
        <v>154</v>
      </c>
      <c r="J3" s="39" t="s">
        <v>120</v>
      </c>
      <c r="K3" s="41" t="s">
        <v>83</v>
      </c>
      <c r="L3" s="41" t="s">
        <v>94</v>
      </c>
      <c r="M3" s="41" t="s">
        <v>141</v>
      </c>
      <c r="N3" s="41" t="s">
        <v>144</v>
      </c>
      <c r="O3" s="41" t="s">
        <v>145</v>
      </c>
      <c r="P3" s="41" t="s">
        <v>154</v>
      </c>
    </row>
    <row r="4" spans="1:16" ht="15.6">
      <c r="A4" s="39" t="s">
        <v>108</v>
      </c>
      <c r="B4" s="89">
        <v>59250.48</v>
      </c>
      <c r="C4" s="89">
        <v>93134.38</v>
      </c>
      <c r="D4" s="89">
        <v>94542.79</v>
      </c>
      <c r="E4" s="89">
        <v>110946.98</v>
      </c>
      <c r="F4" s="89">
        <v>137727.32999999999</v>
      </c>
      <c r="G4" s="89">
        <v>158273.37</v>
      </c>
      <c r="J4" s="62" t="s">
        <v>133</v>
      </c>
      <c r="K4" s="67">
        <v>9.9499999999999993</v>
      </c>
      <c r="L4" s="67">
        <v>208.92</v>
      </c>
      <c r="M4" s="75">
        <v>208.92</v>
      </c>
      <c r="N4" s="75">
        <v>329.5</v>
      </c>
      <c r="O4" s="75">
        <v>329.5</v>
      </c>
      <c r="P4" s="75">
        <v>329.5</v>
      </c>
    </row>
    <row r="5" spans="1:16" ht="15.6">
      <c r="A5" s="42" t="s">
        <v>3</v>
      </c>
      <c r="B5" s="89">
        <v>66.87</v>
      </c>
      <c r="C5" s="89">
        <v>84.83</v>
      </c>
      <c r="D5" s="89">
        <v>146.68</v>
      </c>
      <c r="E5" s="89">
        <v>143.97</v>
      </c>
      <c r="F5" s="89">
        <v>606.42999999999995</v>
      </c>
      <c r="G5" s="89">
        <v>405.5</v>
      </c>
      <c r="J5" s="62" t="s">
        <v>134</v>
      </c>
      <c r="K5" s="67">
        <v>3932.63</v>
      </c>
      <c r="L5" s="67">
        <v>5542.5</v>
      </c>
      <c r="M5" s="75">
        <v>6792.96</v>
      </c>
      <c r="N5" s="75">
        <v>15176.34</v>
      </c>
      <c r="O5" s="75">
        <v>17092.09</v>
      </c>
      <c r="P5" s="75">
        <v>19920.55</v>
      </c>
    </row>
    <row r="6" spans="1:16" ht="15.6">
      <c r="A6" s="43" t="s">
        <v>107</v>
      </c>
      <c r="B6" s="47">
        <f t="shared" ref="B6:C6" si="0">B4+B5</f>
        <v>59317.350000000006</v>
      </c>
      <c r="C6" s="47">
        <f t="shared" si="0"/>
        <v>93219.21</v>
      </c>
      <c r="D6" s="47">
        <f>D4+D5</f>
        <v>94689.469999999987</v>
      </c>
      <c r="E6" s="47">
        <f>E4+E5</f>
        <v>111090.95</v>
      </c>
      <c r="F6" s="47">
        <f>F4+F5</f>
        <v>138333.75999999998</v>
      </c>
      <c r="G6" s="47">
        <f>G4+G5</f>
        <v>158678.87</v>
      </c>
      <c r="J6" s="62" t="s">
        <v>9</v>
      </c>
      <c r="K6" s="67">
        <v>27.44</v>
      </c>
      <c r="L6" s="67">
        <v>31.87</v>
      </c>
      <c r="M6" s="75">
        <v>-19.2</v>
      </c>
      <c r="N6" s="75">
        <v>1.1499999999999999</v>
      </c>
      <c r="O6" s="75">
        <v>18.21</v>
      </c>
      <c r="P6" s="75">
        <v>112.23</v>
      </c>
    </row>
    <row r="7" spans="1:16" ht="15.6">
      <c r="A7" s="45" t="s">
        <v>0</v>
      </c>
      <c r="B7" s="120" t="s">
        <v>86</v>
      </c>
      <c r="C7" s="90">
        <f t="shared" ref="C7" si="1">(C6/B6-1)</f>
        <v>0.57153362380483941</v>
      </c>
      <c r="D7" s="90">
        <f>(D6/C6-1)</f>
        <v>1.5772071014118039E-2</v>
      </c>
      <c r="E7" s="90">
        <f>(E6/D6-1)</f>
        <v>0.17321334674277944</v>
      </c>
      <c r="F7" s="90">
        <f>(F6/E6-1)</f>
        <v>0.24522978694484099</v>
      </c>
      <c r="G7" s="90">
        <f>(G6/F6-1)</f>
        <v>0.1470726307157415</v>
      </c>
      <c r="H7" s="97"/>
      <c r="J7" s="64" t="s">
        <v>104</v>
      </c>
      <c r="K7" s="37">
        <f>SUM(K4:K6)</f>
        <v>3970.02</v>
      </c>
      <c r="L7" s="37">
        <f>SUM(L4:L6)</f>
        <v>5783.29</v>
      </c>
      <c r="M7" s="37">
        <f>SUM(M4:M6)</f>
        <v>6982.68</v>
      </c>
      <c r="N7" s="37">
        <f>N4+N5+N6</f>
        <v>15506.99</v>
      </c>
      <c r="O7" s="123">
        <f>O4+O5+O6</f>
        <v>17439.8</v>
      </c>
      <c r="P7" s="123">
        <f>P4+P5+P6</f>
        <v>20362.28</v>
      </c>
    </row>
    <row r="8" spans="1:16" ht="15.6">
      <c r="A8" s="45" t="s">
        <v>84</v>
      </c>
      <c r="B8" s="120" t="s">
        <v>86</v>
      </c>
      <c r="C8" s="120" t="s">
        <v>86</v>
      </c>
      <c r="D8" s="120" t="s">
        <v>86</v>
      </c>
      <c r="E8" s="90"/>
      <c r="F8" s="90">
        <f>+(F6/C6)^(1/3)-1</f>
        <v>0.14061983913851117</v>
      </c>
      <c r="G8" s="90">
        <f>+(G6/D6)^(1/3)-1</f>
        <v>0.18778855908781789</v>
      </c>
      <c r="H8" s="97"/>
      <c r="J8" s="64" t="s">
        <v>119</v>
      </c>
      <c r="K8" s="38">
        <f>SUM(K4:K5)</f>
        <v>3942.58</v>
      </c>
      <c r="L8" s="38">
        <f>SUM(L4:L5)</f>
        <v>5751.42</v>
      </c>
      <c r="M8" s="38">
        <f>SUM(M4:M5)</f>
        <v>7001.88</v>
      </c>
      <c r="N8" s="38">
        <f>N5+N4</f>
        <v>15505.84</v>
      </c>
      <c r="O8" s="38">
        <f>O5+O4</f>
        <v>17421.59</v>
      </c>
      <c r="P8" s="38">
        <f>P5+P4</f>
        <v>20250.05</v>
      </c>
    </row>
    <row r="9" spans="1:16" ht="15.6">
      <c r="A9" s="111" t="s">
        <v>142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J9" s="64" t="s">
        <v>39</v>
      </c>
      <c r="K9" s="37">
        <f>SUM(K10:K11)</f>
        <v>4889.93</v>
      </c>
      <c r="L9" s="37">
        <f t="shared" ref="L9" si="2">SUM(L10:L11)</f>
        <v>8817.39</v>
      </c>
      <c r="M9" s="37">
        <f>SUM(M10:M11)</f>
        <v>10657.57</v>
      </c>
      <c r="N9" s="37">
        <f>SUM(N10:N11)</f>
        <v>6857.63</v>
      </c>
      <c r="O9" s="37">
        <f>SUM(O10:O11)</f>
        <v>8991.33</v>
      </c>
      <c r="P9" s="37">
        <f>SUM(P10:P11)</f>
        <v>9585.66</v>
      </c>
    </row>
    <row r="10" spans="1:16" ht="15.6">
      <c r="A10" s="42" t="s">
        <v>45</v>
      </c>
      <c r="B10" s="46">
        <v>56475.92</v>
      </c>
      <c r="C10" s="46">
        <v>94242.880000000005</v>
      </c>
      <c r="D10" s="46">
        <v>92081.22</v>
      </c>
      <c r="E10" s="46">
        <v>108329.91</v>
      </c>
      <c r="F10" s="46">
        <v>132202.16</v>
      </c>
      <c r="G10" s="46">
        <v>155091.19</v>
      </c>
      <c r="H10" s="60"/>
      <c r="J10" s="65" t="s">
        <v>135</v>
      </c>
      <c r="K10" s="66">
        <v>651.05999999999995</v>
      </c>
      <c r="L10" s="66">
        <v>607.79</v>
      </c>
      <c r="M10" s="28">
        <v>324.16000000000003</v>
      </c>
      <c r="N10" s="115">
        <v>4.76</v>
      </c>
      <c r="O10" s="115">
        <v>8.8000000000000007</v>
      </c>
      <c r="P10" s="115">
        <v>0</v>
      </c>
    </row>
    <row r="11" spans="1:16" ht="15.6">
      <c r="A11" s="42" t="s">
        <v>46</v>
      </c>
      <c r="B11" s="46">
        <v>-683.51</v>
      </c>
      <c r="C11" s="46">
        <v>-6267.71</v>
      </c>
      <c r="D11" s="46">
        <v>-2940.85</v>
      </c>
      <c r="E11" s="46">
        <v>-3314.05</v>
      </c>
      <c r="F11" s="46">
        <v>-1747.37</v>
      </c>
      <c r="G11" s="46">
        <v>-5541.83</v>
      </c>
      <c r="J11" s="65" t="s">
        <v>136</v>
      </c>
      <c r="K11" s="66">
        <f>K35</f>
        <v>4238.87</v>
      </c>
      <c r="L11" s="66">
        <f>L35</f>
        <v>8209.6</v>
      </c>
      <c r="M11" s="121">
        <f>M35</f>
        <v>10333.41</v>
      </c>
      <c r="N11" s="28">
        <v>6852.87</v>
      </c>
      <c r="O11" s="28">
        <v>8982.5300000000007</v>
      </c>
      <c r="P11" s="28">
        <v>9585.66</v>
      </c>
    </row>
    <row r="12" spans="1:16" ht="15.6">
      <c r="A12" s="42" t="s">
        <v>33</v>
      </c>
      <c r="B12" s="46">
        <v>787.41</v>
      </c>
      <c r="C12" s="46">
        <v>1142.8</v>
      </c>
      <c r="D12" s="46">
        <v>1360.22</v>
      </c>
      <c r="E12" s="46">
        <v>1517.28</v>
      </c>
      <c r="F12" s="46">
        <v>1683.14</v>
      </c>
      <c r="G12" s="46">
        <v>2006.73</v>
      </c>
      <c r="J12" s="64" t="s">
        <v>137</v>
      </c>
      <c r="K12" s="37">
        <f>K53-K34</f>
        <v>4754.4000000000015</v>
      </c>
      <c r="L12" s="37">
        <f t="shared" ref="L12" si="3">L53-L34</f>
        <v>6549.3599999999969</v>
      </c>
      <c r="M12" s="37">
        <f>M53-M34</f>
        <v>7511.84</v>
      </c>
      <c r="N12" s="37">
        <f>N53-N34</f>
        <v>15618.449999999997</v>
      </c>
      <c r="O12" s="37">
        <f>O53-O34</f>
        <v>17575.499999999993</v>
      </c>
      <c r="P12" s="37">
        <f>P53-P34</f>
        <v>20600.289999999994</v>
      </c>
    </row>
    <row r="13" spans="1:16" ht="15.6">
      <c r="A13" s="42" t="s">
        <v>34</v>
      </c>
      <c r="B13" s="46">
        <v>585.26</v>
      </c>
      <c r="C13" s="46">
        <v>1049.07</v>
      </c>
      <c r="D13" s="46">
        <v>1512.76</v>
      </c>
      <c r="E13" s="46">
        <v>1484.89</v>
      </c>
      <c r="F13" s="46">
        <v>2586.6</v>
      </c>
      <c r="G13" s="46">
        <v>2129.96</v>
      </c>
      <c r="J13" s="64" t="s">
        <v>98</v>
      </c>
      <c r="K13" s="37">
        <f>SUM(K14:K23)</f>
        <v>971.6400000000001</v>
      </c>
      <c r="L13" s="37">
        <f>SUM(L14:L23)</f>
        <v>1186.1699999999998</v>
      </c>
      <c r="M13" s="37">
        <f t="shared" ref="M13:N13" si="4">SUM(M14:M23)</f>
        <v>1253.6799999999998</v>
      </c>
      <c r="N13" s="37">
        <f t="shared" si="4"/>
        <v>1140.49</v>
      </c>
      <c r="O13" s="123">
        <f>SUM(O14:O23)</f>
        <v>876.74999999999977</v>
      </c>
      <c r="P13" s="123">
        <f>SUM(P14:P23)</f>
        <v>1073.53</v>
      </c>
    </row>
    <row r="14" spans="1:16" ht="15.6">
      <c r="A14" s="43" t="s">
        <v>1</v>
      </c>
      <c r="B14" s="91">
        <f t="shared" ref="B14:C14" si="5">B4-(SUM(B9:B13))</f>
        <v>2085.4000000000015</v>
      </c>
      <c r="C14" s="91">
        <f t="shared" si="5"/>
        <v>2967.3399999999965</v>
      </c>
      <c r="D14" s="91">
        <f>D4-(SUM(D9:D13))</f>
        <v>2529.4400000000023</v>
      </c>
      <c r="E14" s="91">
        <f>E4-(SUM(E9:E13))</f>
        <v>2928.9499999999971</v>
      </c>
      <c r="F14" s="91">
        <f>F4-(SUM(F9:F13))</f>
        <v>3002.7999999999593</v>
      </c>
      <c r="G14" s="91">
        <f>G4-(SUM(G9:G13))</f>
        <v>4587.3199999999779</v>
      </c>
      <c r="H14" s="60"/>
      <c r="J14" s="62" t="s">
        <v>85</v>
      </c>
      <c r="K14" s="67">
        <v>521.46</v>
      </c>
      <c r="L14" s="67">
        <v>580.15</v>
      </c>
      <c r="M14" s="75">
        <v>539.70000000000005</v>
      </c>
      <c r="N14" s="75">
        <v>525.27</v>
      </c>
      <c r="O14" s="75">
        <v>492.35</v>
      </c>
      <c r="P14" s="75">
        <v>452.87</v>
      </c>
    </row>
    <row r="15" spans="1:16" ht="15.6">
      <c r="A15" s="45" t="s">
        <v>0</v>
      </c>
      <c r="B15" s="120" t="s">
        <v>86</v>
      </c>
      <c r="C15" s="92">
        <f t="shared" ref="C15:D15" si="6">(C14/B14-1)</f>
        <v>0.42291167162174848</v>
      </c>
      <c r="D15" s="92">
        <f t="shared" si="6"/>
        <v>-0.14757324742024669</v>
      </c>
      <c r="E15" s="92">
        <f>(E14/D14-1)</f>
        <v>0.15794405085710439</v>
      </c>
      <c r="F15" s="92">
        <f>(F14/E14-1)</f>
        <v>2.5213813824053855E-2</v>
      </c>
      <c r="G15" s="92">
        <f>(G14/F14-1)</f>
        <v>0.52768083122420406</v>
      </c>
      <c r="J15" s="62" t="s">
        <v>112</v>
      </c>
      <c r="K15" s="67">
        <v>8.8800000000000008</v>
      </c>
      <c r="L15" s="67">
        <v>36.25</v>
      </c>
      <c r="M15" s="75">
        <v>158.54</v>
      </c>
      <c r="N15" s="75">
        <v>130.38999999999999</v>
      </c>
      <c r="O15" s="75">
        <v>94.13</v>
      </c>
      <c r="P15" s="75">
        <v>308.24</v>
      </c>
    </row>
    <row r="16" spans="1:16" ht="15.6">
      <c r="A16" s="45" t="s">
        <v>84</v>
      </c>
      <c r="B16" s="120" t="s">
        <v>86</v>
      </c>
      <c r="C16" s="120" t="s">
        <v>86</v>
      </c>
      <c r="D16" s="120" t="s">
        <v>86</v>
      </c>
      <c r="E16" s="92"/>
      <c r="F16" s="90">
        <f>+(F14/C14)^(1/3)-1</f>
        <v>3.9676028814117359E-3</v>
      </c>
      <c r="G16" s="90">
        <f>+(G14/D14)^(1/3)-1</f>
        <v>0.21948992907173182</v>
      </c>
      <c r="J16" s="62" t="s">
        <v>47</v>
      </c>
      <c r="K16" s="67">
        <v>31.58</v>
      </c>
      <c r="L16" s="67">
        <v>0.92</v>
      </c>
      <c r="M16" s="75">
        <v>39.65</v>
      </c>
      <c r="N16" s="75">
        <v>0</v>
      </c>
      <c r="O16" s="75">
        <v>0</v>
      </c>
      <c r="P16" s="75">
        <v>3</v>
      </c>
    </row>
    <row r="17" spans="1:16" ht="15.6">
      <c r="A17" s="43" t="s">
        <v>2</v>
      </c>
      <c r="B17" s="93">
        <f t="shared" ref="B17:D17" si="7">(B14/B4)</f>
        <v>3.5196339337672897E-2</v>
      </c>
      <c r="C17" s="94">
        <f t="shared" si="7"/>
        <v>3.1860844513057332E-2</v>
      </c>
      <c r="D17" s="94">
        <f t="shared" si="7"/>
        <v>2.6754446320020834E-2</v>
      </c>
      <c r="E17" s="94">
        <f>(E14/E4)</f>
        <v>2.6399546882664108E-2</v>
      </c>
      <c r="F17" s="94">
        <f>(F14/F4)</f>
        <v>2.1802499184438988E-2</v>
      </c>
      <c r="G17" s="94">
        <f>(G14/G4)</f>
        <v>2.898352388655134E-2</v>
      </c>
      <c r="J17" s="62" t="s">
        <v>105</v>
      </c>
      <c r="K17" s="67">
        <v>0.03</v>
      </c>
      <c r="L17" s="67">
        <v>73.34</v>
      </c>
      <c r="M17" s="75">
        <v>56.15</v>
      </c>
      <c r="N17" s="75">
        <v>0.03</v>
      </c>
      <c r="O17" s="75">
        <v>0.03</v>
      </c>
      <c r="P17" s="75">
        <v>0.01</v>
      </c>
    </row>
    <row r="18" spans="1:16" ht="15.6">
      <c r="A18" s="42" t="s">
        <v>4</v>
      </c>
      <c r="B18" s="89">
        <v>75.08</v>
      </c>
      <c r="C18" s="89">
        <v>116.85</v>
      </c>
      <c r="D18" s="89">
        <v>166.7</v>
      </c>
      <c r="E18" s="89">
        <v>188.79</v>
      </c>
      <c r="F18" s="89">
        <v>172.4</v>
      </c>
      <c r="G18" s="89">
        <v>215.15</v>
      </c>
      <c r="J18" s="62" t="s">
        <v>96</v>
      </c>
      <c r="K18" s="67">
        <v>41.08</v>
      </c>
      <c r="L18" s="67">
        <v>41.08</v>
      </c>
      <c r="M18" s="75">
        <v>41.08</v>
      </c>
      <c r="N18" s="75">
        <v>34.18</v>
      </c>
      <c r="O18" s="75">
        <v>34.18</v>
      </c>
      <c r="P18" s="75">
        <v>28.67</v>
      </c>
    </row>
    <row r="19" spans="1:16" ht="15.6">
      <c r="A19" s="42" t="s">
        <v>5</v>
      </c>
      <c r="B19" s="89">
        <v>288.51</v>
      </c>
      <c r="C19" s="89">
        <v>536.84</v>
      </c>
      <c r="D19" s="89">
        <v>863.16</v>
      </c>
      <c r="E19" s="89">
        <v>1071.3900000000001</v>
      </c>
      <c r="F19" s="89">
        <v>775.36</v>
      </c>
      <c r="G19" s="89">
        <v>1064.94</v>
      </c>
      <c r="J19" s="62" t="s">
        <v>147</v>
      </c>
      <c r="K19" s="67">
        <v>51.23</v>
      </c>
      <c r="L19" s="67">
        <v>43.51</v>
      </c>
      <c r="M19" s="75">
        <v>27.36</v>
      </c>
      <c r="N19" s="75">
        <v>17.88</v>
      </c>
      <c r="O19" s="75">
        <v>13.3</v>
      </c>
      <c r="P19" s="75">
        <v>6.2</v>
      </c>
    </row>
    <row r="20" spans="1:16" ht="15.6">
      <c r="A20" s="42" t="s">
        <v>109</v>
      </c>
      <c r="B20" s="113" t="s">
        <v>86</v>
      </c>
      <c r="C20" s="113" t="s">
        <v>86</v>
      </c>
      <c r="D20" s="89">
        <v>0</v>
      </c>
      <c r="E20" s="89">
        <v>103.82</v>
      </c>
      <c r="F20" s="89">
        <v>25.96</v>
      </c>
      <c r="G20" s="89">
        <v>0</v>
      </c>
      <c r="J20" s="62" t="s">
        <v>148</v>
      </c>
      <c r="K20" s="67" t="s">
        <v>86</v>
      </c>
      <c r="L20" s="67">
        <v>23.05</v>
      </c>
      <c r="M20" s="75">
        <v>104.12</v>
      </c>
      <c r="N20" s="75">
        <v>145.6</v>
      </c>
      <c r="O20" s="75">
        <v>27.89</v>
      </c>
      <c r="P20" s="75">
        <v>26.79</v>
      </c>
    </row>
    <row r="21" spans="1:16" ht="15.6">
      <c r="A21" s="43" t="s">
        <v>131</v>
      </c>
      <c r="B21" s="47">
        <f>B14-SUM(B18:B19)+B5</f>
        <v>1788.6800000000017</v>
      </c>
      <c r="C21" s="47">
        <f>C14-SUM(C18:C19)+C5</f>
        <v>2398.4799999999964</v>
      </c>
      <c r="D21" s="47">
        <f>D14-SUM(D18:D19)+D20+D5</f>
        <v>1646.2600000000025</v>
      </c>
      <c r="E21" s="47">
        <f>E14-SUM(E18:E19)+E20+E5</f>
        <v>1916.559999999997</v>
      </c>
      <c r="F21" s="47">
        <f>F14-SUM(F18:F19)+F20+F5</f>
        <v>2687.4299999999589</v>
      </c>
      <c r="G21" s="47">
        <f>G14-SUM(G18:G19)+G20+G5</f>
        <v>3712.7299999999777</v>
      </c>
      <c r="J21" s="62" t="s">
        <v>90</v>
      </c>
      <c r="K21" s="67">
        <v>220.97</v>
      </c>
      <c r="L21" s="67">
        <v>279.97000000000003</v>
      </c>
      <c r="M21" s="75">
        <v>96.64</v>
      </c>
      <c r="N21" s="75">
        <v>132.53</v>
      </c>
      <c r="O21" s="75">
        <v>134.82</v>
      </c>
      <c r="P21" s="75">
        <v>148.78</v>
      </c>
    </row>
    <row r="22" spans="1:16" ht="15.6">
      <c r="A22" s="42" t="s">
        <v>6</v>
      </c>
      <c r="B22" s="95">
        <f>441.49-13.6-2.71</f>
        <v>425.18</v>
      </c>
      <c r="C22" s="95">
        <f>633.86-55.45-5.05</f>
        <v>573.36</v>
      </c>
      <c r="D22" s="95">
        <v>412.83</v>
      </c>
      <c r="E22" s="95">
        <v>477.98</v>
      </c>
      <c r="F22" s="95">
        <f>679.67-12.17-77.23</f>
        <v>590.27</v>
      </c>
      <c r="G22" s="95">
        <v>889.27</v>
      </c>
      <c r="J22" s="62" t="s">
        <v>97</v>
      </c>
      <c r="K22" s="67">
        <v>17.100000000000001</v>
      </c>
      <c r="L22" s="67">
        <v>44.33</v>
      </c>
      <c r="M22" s="75">
        <v>58.55</v>
      </c>
      <c r="N22" s="75">
        <v>68.42</v>
      </c>
      <c r="O22" s="75">
        <v>19.43</v>
      </c>
      <c r="P22" s="75">
        <v>0</v>
      </c>
    </row>
    <row r="23" spans="1:16" ht="15.6">
      <c r="A23" s="45" t="s">
        <v>7</v>
      </c>
      <c r="B23" s="90">
        <f t="shared" ref="B23:C23" si="8">(B22/B21)</f>
        <v>0.23770601784556186</v>
      </c>
      <c r="C23" s="90">
        <f t="shared" si="8"/>
        <v>0.23905139921950605</v>
      </c>
      <c r="D23" s="90">
        <f>(D22/D21)</f>
        <v>0.25076840839235559</v>
      </c>
      <c r="E23" s="90">
        <f>(E22/E21)</f>
        <v>0.24939474892515798</v>
      </c>
      <c r="F23" s="90">
        <f>(F22/F21)</f>
        <v>0.21964106972088909</v>
      </c>
      <c r="G23" s="90">
        <f>(G22/G21)</f>
        <v>0.23951916783606816</v>
      </c>
      <c r="J23" s="62" t="s">
        <v>87</v>
      </c>
      <c r="K23" s="67">
        <v>79.31</v>
      </c>
      <c r="L23" s="67">
        <v>63.57</v>
      </c>
      <c r="M23" s="75">
        <v>131.88999999999999</v>
      </c>
      <c r="N23" s="75">
        <v>86.19</v>
      </c>
      <c r="O23" s="75">
        <v>60.62</v>
      </c>
      <c r="P23" s="75">
        <v>98.97</v>
      </c>
    </row>
    <row r="24" spans="1:16" ht="15.6">
      <c r="A24" s="43" t="s">
        <v>110</v>
      </c>
      <c r="B24" s="47" t="e">
        <f>SUM(#REF!)</f>
        <v>#REF!</v>
      </c>
      <c r="C24" s="47" t="e">
        <f>SUM(#REF!)</f>
        <v>#REF!</v>
      </c>
      <c r="D24" s="47">
        <f>D21-D22</f>
        <v>1233.4300000000026</v>
      </c>
      <c r="E24" s="47">
        <f>E21-E22</f>
        <v>1438.579999999997</v>
      </c>
      <c r="F24" s="47">
        <f>F21-F22</f>
        <v>2097.1599999999589</v>
      </c>
      <c r="G24" s="47">
        <f>G21-G22</f>
        <v>2823.4599999999778</v>
      </c>
      <c r="J24" s="64" t="s">
        <v>106</v>
      </c>
      <c r="K24" s="37">
        <f>SUM(K25:K31)</f>
        <v>14972.260000000002</v>
      </c>
      <c r="L24" s="37">
        <f>SUM(L25:L31)</f>
        <v>25515.41</v>
      </c>
      <c r="M24" s="37">
        <f>SUM(M25:M31)</f>
        <v>26732.309999999998</v>
      </c>
      <c r="N24" s="37">
        <f>SUM(N25:N33)</f>
        <v>37047.96</v>
      </c>
      <c r="O24" s="123">
        <f>SUM(O25:O33)</f>
        <v>41759.43</v>
      </c>
      <c r="P24" s="123">
        <f>SUM(P25:P33)</f>
        <v>52197.95</v>
      </c>
    </row>
    <row r="25" spans="1:16" ht="15.6">
      <c r="A25" s="48" t="s">
        <v>40</v>
      </c>
      <c r="B25" s="96" t="e">
        <f t="shared" ref="B25:F25" si="9">B24/B4</f>
        <v>#REF!</v>
      </c>
      <c r="C25" s="96" t="e">
        <f t="shared" si="9"/>
        <v>#REF!</v>
      </c>
      <c r="D25" s="96">
        <f t="shared" si="9"/>
        <v>1.3046261909554421E-2</v>
      </c>
      <c r="E25" s="96">
        <f t="shared" si="9"/>
        <v>1.2966373667854655E-2</v>
      </c>
      <c r="F25" s="96">
        <f t="shared" si="9"/>
        <v>1.5226897958451377E-2</v>
      </c>
      <c r="G25" s="96">
        <f>G24/G4</f>
        <v>1.7839134909429032E-2</v>
      </c>
      <c r="J25" s="62" t="s">
        <v>17</v>
      </c>
      <c r="K25" s="67">
        <v>5725.32</v>
      </c>
      <c r="L25" s="67">
        <v>11993.03</v>
      </c>
      <c r="M25" s="87">
        <v>14933.97</v>
      </c>
      <c r="N25" s="87">
        <v>18248.02</v>
      </c>
      <c r="O25" s="87">
        <v>19995.39</v>
      </c>
      <c r="P25" s="87">
        <v>25537.22</v>
      </c>
    </row>
    <row r="26" spans="1:16" ht="15.6">
      <c r="A26" s="42" t="s">
        <v>9</v>
      </c>
      <c r="B26" s="56">
        <v>0</v>
      </c>
      <c r="C26" s="56">
        <v>0</v>
      </c>
      <c r="D26" s="68" t="s">
        <v>86</v>
      </c>
      <c r="E26" s="68" t="s">
        <v>86</v>
      </c>
      <c r="F26" s="68">
        <v>0</v>
      </c>
      <c r="G26" s="68" t="s">
        <v>155</v>
      </c>
      <c r="J26" s="62" t="s">
        <v>149</v>
      </c>
      <c r="K26" s="67">
        <v>60</v>
      </c>
      <c r="L26" s="67">
        <v>20.97</v>
      </c>
      <c r="M26" s="87">
        <v>0</v>
      </c>
      <c r="N26" s="87">
        <v>0</v>
      </c>
      <c r="O26" s="87">
        <v>0</v>
      </c>
      <c r="P26" s="87">
        <v>11.06</v>
      </c>
    </row>
    <row r="27" spans="1:16" ht="15.6">
      <c r="A27" s="42" t="s">
        <v>111</v>
      </c>
      <c r="B27" s="72">
        <v>-22.45</v>
      </c>
      <c r="C27" s="72">
        <v>-8.57</v>
      </c>
      <c r="D27" s="72">
        <v>-32.99</v>
      </c>
      <c r="E27" s="72">
        <v>-39.33</v>
      </c>
      <c r="F27" s="72">
        <v>-13.28</v>
      </c>
      <c r="G27" s="72">
        <v>-30.28</v>
      </c>
      <c r="J27" s="62" t="s">
        <v>88</v>
      </c>
      <c r="K27" s="67">
        <v>7923.76</v>
      </c>
      <c r="L27" s="67">
        <v>11521.47</v>
      </c>
      <c r="M27" s="87">
        <v>8716.2000000000007</v>
      </c>
      <c r="N27" s="87">
        <v>13842.97</v>
      </c>
      <c r="O27" s="87">
        <v>17950.96</v>
      </c>
      <c r="P27" s="87">
        <v>21842.12</v>
      </c>
    </row>
    <row r="28" spans="1:16" ht="15.6">
      <c r="A28" s="42" t="s">
        <v>132</v>
      </c>
      <c r="B28" s="72" t="e">
        <f>B27+B24</f>
        <v>#REF!</v>
      </c>
      <c r="C28" s="72" t="e">
        <f>C27+C24</f>
        <v>#REF!</v>
      </c>
      <c r="D28" s="72">
        <f>D27+D24</f>
        <v>1200.4400000000026</v>
      </c>
      <c r="E28" s="72">
        <f>E27+E24</f>
        <v>1399.249999999997</v>
      </c>
      <c r="F28" s="72">
        <v>2083.88</v>
      </c>
      <c r="G28" s="72">
        <f>G24+G27</f>
        <v>2793.1799999999776</v>
      </c>
      <c r="J28" s="62" t="s">
        <v>89</v>
      </c>
      <c r="K28" s="67">
        <v>289.29000000000002</v>
      </c>
      <c r="L28" s="67">
        <v>451.75</v>
      </c>
      <c r="M28" s="87">
        <v>346.09</v>
      </c>
      <c r="N28" s="87">
        <v>1450.07</v>
      </c>
      <c r="O28" s="87">
        <v>215.93</v>
      </c>
      <c r="P28" s="87">
        <v>812.08</v>
      </c>
    </row>
    <row r="29" spans="1:16" ht="15.6">
      <c r="A29" s="45" t="s">
        <v>84</v>
      </c>
      <c r="B29" s="70" t="s">
        <v>86</v>
      </c>
      <c r="C29" s="120" t="s">
        <v>86</v>
      </c>
      <c r="D29" s="120" t="s">
        <v>86</v>
      </c>
      <c r="E29" s="114"/>
      <c r="F29" s="114"/>
      <c r="G29" s="114"/>
      <c r="J29" s="62" t="s">
        <v>129</v>
      </c>
      <c r="K29" s="67">
        <v>0.18</v>
      </c>
      <c r="L29" s="67">
        <v>0.19</v>
      </c>
      <c r="M29" s="87">
        <v>0.2</v>
      </c>
      <c r="N29" s="87">
        <v>0.21</v>
      </c>
      <c r="O29" s="87">
        <v>3.61</v>
      </c>
      <c r="P29" s="87">
        <v>0.03</v>
      </c>
    </row>
    <row r="30" spans="1:16" ht="15.6">
      <c r="A30" s="45" t="s">
        <v>152</v>
      </c>
      <c r="B30" s="71">
        <v>31.2</v>
      </c>
      <c r="C30" s="71">
        <v>43.57</v>
      </c>
      <c r="D30" s="71">
        <v>29.5</v>
      </c>
      <c r="E30" s="71">
        <v>31.14</v>
      </c>
      <c r="F30" s="71">
        <v>31.57</v>
      </c>
      <c r="G30" s="71">
        <v>42.12</v>
      </c>
      <c r="J30" s="62" t="s">
        <v>90</v>
      </c>
      <c r="K30" s="67">
        <v>2.5299999999999998</v>
      </c>
      <c r="L30" s="67">
        <v>1.1299999999999999</v>
      </c>
      <c r="M30" s="87">
        <v>51.94</v>
      </c>
      <c r="N30" s="87">
        <v>55.14</v>
      </c>
      <c r="O30" s="87">
        <v>55.53</v>
      </c>
      <c r="P30" s="87">
        <v>142.02000000000001</v>
      </c>
    </row>
    <row r="31" spans="1:16" ht="15.6">
      <c r="A31" s="49" t="s">
        <v>153</v>
      </c>
      <c r="B31" s="72">
        <v>31.2</v>
      </c>
      <c r="C31" s="72">
        <v>43.57</v>
      </c>
      <c r="D31" s="72">
        <v>29.5</v>
      </c>
      <c r="E31" s="72">
        <v>31.14</v>
      </c>
      <c r="F31" s="72">
        <v>31.57</v>
      </c>
      <c r="G31" s="72">
        <v>41.18</v>
      </c>
      <c r="J31" s="62" t="s">
        <v>103</v>
      </c>
      <c r="K31" s="67">
        <v>971.18</v>
      </c>
      <c r="L31" s="67">
        <v>1526.87</v>
      </c>
      <c r="M31" s="87">
        <v>2683.91</v>
      </c>
      <c r="N31" s="87">
        <v>3451.55</v>
      </c>
      <c r="O31" s="87">
        <v>3538.01</v>
      </c>
      <c r="P31" s="87">
        <v>3853.42</v>
      </c>
    </row>
    <row r="32" spans="1:16" ht="15.6">
      <c r="A32" s="50" t="s">
        <v>0</v>
      </c>
      <c r="B32" s="73"/>
      <c r="C32" s="73">
        <f>(C30/B30-1)</f>
        <v>0.39647435897435912</v>
      </c>
      <c r="D32" s="73">
        <f t="shared" ref="D32:G32" si="10">(D30/C30-1)</f>
        <v>-0.32292862061051186</v>
      </c>
      <c r="E32" s="73">
        <f t="shared" si="10"/>
        <v>5.5593220338983063E-2</v>
      </c>
      <c r="F32" s="73">
        <f t="shared" si="10"/>
        <v>1.3808606294155368E-2</v>
      </c>
      <c r="G32" s="73">
        <f>(G30/F30-1)</f>
        <v>0.33417801710484629</v>
      </c>
      <c r="J32" s="62"/>
      <c r="K32" s="67"/>
      <c r="L32" s="67"/>
      <c r="M32" s="67"/>
      <c r="N32" s="67"/>
      <c r="O32" s="67"/>
      <c r="P32" s="67"/>
    </row>
    <row r="33" spans="1:16" ht="15.6">
      <c r="A33" s="50" t="s">
        <v>84</v>
      </c>
      <c r="B33" s="74"/>
      <c r="C33" s="120" t="s">
        <v>86</v>
      </c>
      <c r="D33" s="120" t="s">
        <v>86</v>
      </c>
      <c r="E33" s="74"/>
      <c r="F33" s="74">
        <f>((F30/C30)^(1/3)-1)</f>
        <v>-0.10182215010951978</v>
      </c>
      <c r="G33" s="74">
        <f>((G30/D30)^(1/3)-1)</f>
        <v>0.12604422818466743</v>
      </c>
      <c r="J33" s="62"/>
      <c r="K33" s="67"/>
      <c r="L33" s="67"/>
      <c r="M33" s="67"/>
      <c r="N33" s="67"/>
      <c r="O33" s="67"/>
      <c r="P33" s="67"/>
    </row>
    <row r="34" spans="1:16" ht="15.6">
      <c r="A34" s="3"/>
      <c r="B34" s="5"/>
      <c r="C34" s="5"/>
      <c r="D34" s="5"/>
      <c r="E34" s="5"/>
      <c r="F34" s="5"/>
      <c r="G34" s="5"/>
      <c r="J34" s="64" t="s">
        <v>100</v>
      </c>
      <c r="K34" s="37">
        <f>SUM(K35:K42)</f>
        <v>11189.5</v>
      </c>
      <c r="L34" s="37">
        <f>SUM(L35:L42)</f>
        <v>20152.22</v>
      </c>
      <c r="M34" s="37">
        <f>SUM(M35:M42)</f>
        <v>20474.149999999998</v>
      </c>
      <c r="N34" s="37">
        <f>SUM(N35:N42)</f>
        <v>22570</v>
      </c>
      <c r="O34" s="123">
        <f>SUM(O35:O42)</f>
        <v>25060.680000000008</v>
      </c>
      <c r="P34" s="123">
        <f t="shared" ref="P34" si="11">SUM(P35:P41)</f>
        <v>32671.190000000002</v>
      </c>
    </row>
    <row r="35" spans="1:16" ht="15.6">
      <c r="A35" s="3"/>
      <c r="B35" s="5"/>
      <c r="C35" s="5"/>
      <c r="D35" s="5"/>
      <c r="E35" s="5"/>
      <c r="F35" s="5"/>
      <c r="G35" s="5"/>
      <c r="J35" s="62" t="s">
        <v>113</v>
      </c>
      <c r="K35" s="67">
        <v>4238.87</v>
      </c>
      <c r="L35" s="67">
        <v>8209.6</v>
      </c>
      <c r="M35" s="67">
        <v>10333.41</v>
      </c>
      <c r="N35" s="115">
        <f>N11</f>
        <v>6852.87</v>
      </c>
      <c r="O35" s="115">
        <f>O11</f>
        <v>8982.5300000000007</v>
      </c>
      <c r="P35" s="115">
        <v>9585.66</v>
      </c>
    </row>
    <row r="36" spans="1:16" ht="15.6">
      <c r="A36" s="4" t="s">
        <v>11</v>
      </c>
      <c r="B36" s="5"/>
      <c r="C36" s="5"/>
      <c r="D36" s="5"/>
      <c r="E36" s="5"/>
      <c r="F36" s="5"/>
      <c r="G36" s="5"/>
      <c r="J36" s="62" t="s">
        <v>125</v>
      </c>
      <c r="K36" s="67">
        <v>4.21</v>
      </c>
      <c r="L36" s="67">
        <v>17.239999999999998</v>
      </c>
      <c r="M36" s="67">
        <v>47.82</v>
      </c>
      <c r="N36" s="28">
        <v>49.9</v>
      </c>
      <c r="O36" s="28">
        <v>58.55</v>
      </c>
      <c r="P36" s="28">
        <v>101.27</v>
      </c>
    </row>
    <row r="37" spans="1:16" ht="15.6">
      <c r="A37" s="39" t="s">
        <v>121</v>
      </c>
      <c r="B37" s="53" t="s">
        <v>83</v>
      </c>
      <c r="C37" s="41" t="s">
        <v>94</v>
      </c>
      <c r="D37" s="102" t="s">
        <v>141</v>
      </c>
      <c r="E37" s="41" t="s">
        <v>144</v>
      </c>
      <c r="F37" s="41" t="s">
        <v>145</v>
      </c>
      <c r="G37" s="41" t="s">
        <v>154</v>
      </c>
      <c r="J37" s="62" t="s">
        <v>114</v>
      </c>
      <c r="K37" s="67">
        <f>2.52+6636.28</f>
        <v>6638.8</v>
      </c>
      <c r="L37" s="67">
        <f>3+11281.39</f>
        <v>11284.39</v>
      </c>
      <c r="M37" s="67">
        <f>3.28+9558.3</f>
        <v>9561.58</v>
      </c>
      <c r="N37" s="28">
        <f>51.83+14976.99</f>
        <v>15028.82</v>
      </c>
      <c r="O37" s="28">
        <f>346.29+15060.11</f>
        <v>15406.400000000001</v>
      </c>
      <c r="P37" s="28">
        <f>567.55+21142.49</f>
        <v>21710.04</v>
      </c>
    </row>
    <row r="38" spans="1:16" ht="15.6">
      <c r="A38" s="39" t="s">
        <v>12</v>
      </c>
      <c r="B38" s="54">
        <v>49.52</v>
      </c>
      <c r="C38" s="54" t="e">
        <f>B44</f>
        <v>#REF!</v>
      </c>
      <c r="D38" s="103">
        <v>451.75</v>
      </c>
      <c r="E38" s="54">
        <v>346.09</v>
      </c>
      <c r="F38" s="54">
        <f>E44</f>
        <v>1450.07</v>
      </c>
      <c r="G38" s="54">
        <f>F44</f>
        <v>-304.11000000000053</v>
      </c>
      <c r="J38" s="62" t="s">
        <v>126</v>
      </c>
      <c r="K38" s="67">
        <v>56.45</v>
      </c>
      <c r="L38" s="67">
        <v>205.57</v>
      </c>
      <c r="M38" s="67">
        <v>219.95</v>
      </c>
      <c r="N38" s="28">
        <v>239.12</v>
      </c>
      <c r="O38" s="28">
        <v>249.81</v>
      </c>
      <c r="P38" s="28">
        <v>534.98</v>
      </c>
    </row>
    <row r="39" spans="1:16" ht="15.6">
      <c r="A39" s="39" t="s">
        <v>116</v>
      </c>
      <c r="B39" s="55">
        <v>-1097.54</v>
      </c>
      <c r="C39" s="55">
        <v>-3152.05</v>
      </c>
      <c r="D39" s="103">
        <v>-1145.53</v>
      </c>
      <c r="E39" s="54">
        <v>-1020.05</v>
      </c>
      <c r="F39" s="54">
        <v>-2991.8</v>
      </c>
      <c r="G39" s="54">
        <v>1136.8699999999999</v>
      </c>
      <c r="J39" s="62" t="s">
        <v>92</v>
      </c>
      <c r="K39" s="67">
        <v>77.89</v>
      </c>
      <c r="L39" s="67">
        <v>304.7</v>
      </c>
      <c r="M39" s="67">
        <v>174.16</v>
      </c>
      <c r="N39" s="28">
        <v>320.72000000000003</v>
      </c>
      <c r="O39" s="28">
        <v>207.73</v>
      </c>
      <c r="P39" s="28">
        <v>402.46</v>
      </c>
    </row>
    <row r="40" spans="1:16" ht="15.6">
      <c r="A40" s="42" t="s">
        <v>117</v>
      </c>
      <c r="B40" s="56">
        <v>-9.84</v>
      </c>
      <c r="C40" s="56">
        <v>-64.38</v>
      </c>
      <c r="D40" s="104">
        <v>-38.130000000000003</v>
      </c>
      <c r="E40" s="86">
        <v>17.75</v>
      </c>
      <c r="F40" s="86">
        <v>518.62</v>
      </c>
      <c r="G40" s="86">
        <v>194.21</v>
      </c>
      <c r="J40" s="62" t="s">
        <v>91</v>
      </c>
      <c r="K40" s="67">
        <v>23.83</v>
      </c>
      <c r="L40" s="67">
        <v>29.47</v>
      </c>
      <c r="M40" s="67">
        <v>19.96</v>
      </c>
      <c r="N40" s="28">
        <v>9.67</v>
      </c>
      <c r="O40" s="28">
        <v>24.38</v>
      </c>
      <c r="P40" s="28">
        <v>65.83</v>
      </c>
    </row>
    <row r="41" spans="1:16" ht="15.6">
      <c r="A41" s="42" t="s">
        <v>118</v>
      </c>
      <c r="B41" s="56">
        <v>1344.3</v>
      </c>
      <c r="C41" s="56">
        <v>3375.06</v>
      </c>
      <c r="D41" s="104">
        <v>1078.3800000000001</v>
      </c>
      <c r="E41" s="86">
        <v>2113.14</v>
      </c>
      <c r="F41" s="86">
        <v>706.41</v>
      </c>
      <c r="G41" s="86">
        <v>-802.65</v>
      </c>
      <c r="J41" s="62" t="s">
        <v>115</v>
      </c>
      <c r="K41" s="67">
        <v>94.74</v>
      </c>
      <c r="L41" s="67">
        <v>4.01</v>
      </c>
      <c r="M41" s="67">
        <v>7.05</v>
      </c>
      <c r="N41" s="28">
        <v>9.25</v>
      </c>
      <c r="O41" s="28">
        <v>128.83000000000001</v>
      </c>
      <c r="P41" s="28">
        <v>270.95</v>
      </c>
    </row>
    <row r="42" spans="1:16" ht="15.6">
      <c r="A42" s="39" t="s">
        <v>13</v>
      </c>
      <c r="B42" s="51" t="e">
        <f>SUM(B39:B41)+#REF!</f>
        <v>#REF!</v>
      </c>
      <c r="C42" s="51" t="e">
        <f>SUM(C39:C41)+#REF!</f>
        <v>#REF!</v>
      </c>
      <c r="D42" s="51">
        <f>SUM(D39:D41)</f>
        <v>-105.27999999999997</v>
      </c>
      <c r="E42" s="51">
        <f>SUM(E39:E41)</f>
        <v>1110.8399999999999</v>
      </c>
      <c r="F42" s="51">
        <f>SUM(F39:F41)</f>
        <v>-1766.7700000000004</v>
      </c>
      <c r="G42" s="51">
        <f>SUM(G39:G41)</f>
        <v>528.42999999999995</v>
      </c>
      <c r="J42" s="62" t="s">
        <v>150</v>
      </c>
      <c r="K42" s="67">
        <v>54.71</v>
      </c>
      <c r="L42" s="67">
        <v>97.24</v>
      </c>
      <c r="M42" s="67">
        <v>110.22</v>
      </c>
      <c r="N42" s="28">
        <v>59.65</v>
      </c>
      <c r="O42" s="28">
        <v>2.4500000000000002</v>
      </c>
      <c r="P42" s="28">
        <v>0</v>
      </c>
    </row>
    <row r="43" spans="1:16" ht="15.6">
      <c r="A43" s="111" t="s">
        <v>151</v>
      </c>
      <c r="B43" s="56">
        <v>2.85</v>
      </c>
      <c r="C43" s="56">
        <v>3.83</v>
      </c>
      <c r="D43" s="104">
        <v>-0.38</v>
      </c>
      <c r="E43" s="86">
        <v>-6.86</v>
      </c>
      <c r="F43" s="86">
        <v>12.59</v>
      </c>
      <c r="G43" s="86">
        <v>-59.52</v>
      </c>
      <c r="J43" s="64" t="s">
        <v>130</v>
      </c>
      <c r="K43" s="37">
        <f>K24-K34</f>
        <v>3782.760000000002</v>
      </c>
      <c r="L43" s="37">
        <f t="shared" ref="L43:M43" si="12">L24-L34</f>
        <v>5363.1899999999987</v>
      </c>
      <c r="M43" s="37">
        <f t="shared" si="12"/>
        <v>6258.16</v>
      </c>
      <c r="N43" s="37">
        <f>N24-N34</f>
        <v>14477.96</v>
      </c>
      <c r="O43" s="37">
        <f>O24-O34</f>
        <v>16698.749999999993</v>
      </c>
      <c r="P43" s="37">
        <f>P24-P34</f>
        <v>19526.759999999995</v>
      </c>
    </row>
    <row r="44" spans="1:16" ht="15.6">
      <c r="A44" s="39" t="s">
        <v>35</v>
      </c>
      <c r="B44" s="44" t="e">
        <f>B42+B38</f>
        <v>#REF!</v>
      </c>
      <c r="C44" s="44" t="e">
        <f>C42+C38</f>
        <v>#REF!</v>
      </c>
      <c r="D44" s="44">
        <f>D38+D42+D43</f>
        <v>346.09000000000003</v>
      </c>
      <c r="E44" s="44">
        <f>E38+E42+E43</f>
        <v>1450.07</v>
      </c>
      <c r="F44" s="44">
        <f>F38+F42+F43</f>
        <v>-304.11000000000053</v>
      </c>
      <c r="G44" s="44">
        <f>G38+G42+G43</f>
        <v>164.79999999999941</v>
      </c>
      <c r="J44" s="64" t="s">
        <v>127</v>
      </c>
      <c r="K44" s="37">
        <f t="shared" ref="K44:P44" si="13">SUM(K46:K51)</f>
        <v>784.37999999999988</v>
      </c>
      <c r="L44" s="37">
        <f t="shared" si="13"/>
        <v>766.06999999999994</v>
      </c>
      <c r="M44" s="37">
        <f t="shared" si="13"/>
        <v>529.16</v>
      </c>
      <c r="N44" s="37">
        <f t="shared" si="13"/>
        <v>111.46000000000001</v>
      </c>
      <c r="O44" s="123">
        <f t="shared" si="13"/>
        <v>135.70000000000002</v>
      </c>
      <c r="P44" s="123">
        <f t="shared" si="13"/>
        <v>238.01</v>
      </c>
    </row>
    <row r="45" spans="1:16" ht="15.6">
      <c r="A45" s="42"/>
      <c r="B45" s="57"/>
      <c r="C45" s="57"/>
      <c r="D45" s="85"/>
      <c r="E45" s="107"/>
      <c r="F45" s="107"/>
      <c r="G45" s="107"/>
      <c r="J45" s="62" t="s">
        <v>99</v>
      </c>
      <c r="K45" s="67">
        <f>SUM(K46:K47)</f>
        <v>656.2399999999999</v>
      </c>
      <c r="L45" s="67">
        <f t="shared" ref="L45" si="14">SUM(L46:L48)</f>
        <v>641.4</v>
      </c>
      <c r="M45" s="67">
        <f>SUM(M46:M48)</f>
        <v>450.28</v>
      </c>
      <c r="N45" s="115">
        <f>SUM(N46:N48)</f>
        <v>100.71000000000001</v>
      </c>
      <c r="O45" s="115">
        <f>SUM(O46:O48)</f>
        <v>102.92000000000002</v>
      </c>
      <c r="P45" s="115">
        <f>SUM(P46:P48)</f>
        <v>219.38</v>
      </c>
    </row>
    <row r="46" spans="1:16" ht="15.6">
      <c r="A46" s="58" t="s">
        <v>14</v>
      </c>
      <c r="B46" s="40" t="s">
        <v>83</v>
      </c>
      <c r="C46" s="41" t="s">
        <v>94</v>
      </c>
      <c r="D46" s="102" t="s">
        <v>141</v>
      </c>
      <c r="E46" s="41" t="s">
        <v>144</v>
      </c>
      <c r="F46" s="41" t="s">
        <v>145</v>
      </c>
      <c r="G46" s="41" t="s">
        <v>154</v>
      </c>
      <c r="J46" s="62" t="s">
        <v>138</v>
      </c>
      <c r="K46" s="67">
        <f>K10</f>
        <v>651.05999999999995</v>
      </c>
      <c r="L46" s="67">
        <v>607.79</v>
      </c>
      <c r="M46" s="67">
        <v>324.16000000000003</v>
      </c>
      <c r="N46" s="115">
        <f>N10</f>
        <v>4.76</v>
      </c>
      <c r="O46" s="115">
        <f>O10</f>
        <v>8.8000000000000007</v>
      </c>
      <c r="P46" s="115">
        <v>0</v>
      </c>
    </row>
    <row r="47" spans="1:16" ht="15.6">
      <c r="A47" s="39" t="s">
        <v>93</v>
      </c>
      <c r="B47" s="47">
        <f t="shared" ref="B47:F47" si="15">B39</f>
        <v>-1097.54</v>
      </c>
      <c r="C47" s="47">
        <f t="shared" si="15"/>
        <v>-3152.05</v>
      </c>
      <c r="D47" s="105">
        <f t="shared" si="15"/>
        <v>-1145.53</v>
      </c>
      <c r="E47" s="47">
        <f t="shared" si="15"/>
        <v>-1020.05</v>
      </c>
      <c r="F47" s="47">
        <f t="shared" si="15"/>
        <v>-2991.8</v>
      </c>
      <c r="G47" s="47">
        <f>G39</f>
        <v>1136.8699999999999</v>
      </c>
      <c r="J47" s="62" t="s">
        <v>125</v>
      </c>
      <c r="K47" s="67">
        <v>5.18</v>
      </c>
      <c r="L47" s="67">
        <v>21.47</v>
      </c>
      <c r="M47" s="67">
        <v>115.72</v>
      </c>
      <c r="N47" s="28">
        <v>89.56</v>
      </c>
      <c r="O47" s="28">
        <v>46.35</v>
      </c>
      <c r="P47" s="28">
        <v>219.38</v>
      </c>
    </row>
    <row r="48" spans="1:16" ht="15.6">
      <c r="A48" s="61" t="s">
        <v>15</v>
      </c>
      <c r="B48" s="59">
        <f>-8+59.51</f>
        <v>51.51</v>
      </c>
      <c r="C48" s="59">
        <f>122.57-0.62</f>
        <v>121.94999999999999</v>
      </c>
      <c r="D48" s="59">
        <f>113.22-1.26</f>
        <v>111.96</v>
      </c>
      <c r="E48" s="59">
        <f>70.8-0.72</f>
        <v>70.08</v>
      </c>
      <c r="F48" s="59">
        <f>78.97-1.3</f>
        <v>77.67</v>
      </c>
      <c r="G48" s="59">
        <f>82.5-1.8</f>
        <v>80.7</v>
      </c>
      <c r="J48" s="62" t="s">
        <v>150</v>
      </c>
      <c r="K48" s="67">
        <v>6.38</v>
      </c>
      <c r="L48" s="67">
        <v>12.14</v>
      </c>
      <c r="M48" s="67">
        <v>10.4</v>
      </c>
      <c r="N48" s="28">
        <v>6.39</v>
      </c>
      <c r="O48" s="28">
        <v>47.77</v>
      </c>
      <c r="P48" s="28">
        <v>0</v>
      </c>
    </row>
    <row r="49" spans="1:16" ht="15.6">
      <c r="A49" s="43" t="s">
        <v>16</v>
      </c>
      <c r="B49" s="38">
        <f t="shared" ref="B49:C49" si="16">B47-B48</f>
        <v>-1149.05</v>
      </c>
      <c r="C49" s="38">
        <f t="shared" si="16"/>
        <v>-3274</v>
      </c>
      <c r="D49" s="106">
        <f>D47-D48</f>
        <v>-1257.49</v>
      </c>
      <c r="E49" s="47">
        <f>E47-E48</f>
        <v>-1090.1299999999999</v>
      </c>
      <c r="F49" s="47">
        <f>F47-F48</f>
        <v>-3069.4700000000003</v>
      </c>
      <c r="G49" s="47">
        <f>G47-G48</f>
        <v>1056.1699999999998</v>
      </c>
      <c r="J49" s="62" t="s">
        <v>91</v>
      </c>
      <c r="K49" s="67">
        <v>7.93</v>
      </c>
      <c r="L49" s="67">
        <v>25.64</v>
      </c>
      <c r="M49" s="67">
        <v>10.73</v>
      </c>
      <c r="N49" s="28">
        <v>10.75</v>
      </c>
      <c r="O49" s="28">
        <v>8.25</v>
      </c>
      <c r="P49" s="28">
        <v>0.43</v>
      </c>
    </row>
    <row r="50" spans="1:16" ht="15.6">
      <c r="A50" s="109"/>
      <c r="B50" s="110"/>
      <c r="C50" s="110"/>
      <c r="D50" s="110"/>
      <c r="E50" s="110"/>
      <c r="F50" s="110"/>
      <c r="G50" s="110"/>
      <c r="J50" s="62" t="s">
        <v>124</v>
      </c>
      <c r="K50" s="67">
        <v>0</v>
      </c>
      <c r="L50" s="67">
        <v>0</v>
      </c>
      <c r="M50" s="67">
        <v>0</v>
      </c>
      <c r="N50" s="28">
        <v>0</v>
      </c>
      <c r="O50" s="28">
        <v>0</v>
      </c>
      <c r="P50" s="28">
        <v>0</v>
      </c>
    </row>
    <row r="51" spans="1:16" ht="15.6">
      <c r="J51" s="62" t="s">
        <v>102</v>
      </c>
      <c r="K51" s="67">
        <v>113.83</v>
      </c>
      <c r="L51" s="67">
        <v>99.03</v>
      </c>
      <c r="M51" s="67">
        <v>68.150000000000006</v>
      </c>
      <c r="N51" s="28">
        <v>0</v>
      </c>
      <c r="O51" s="28">
        <v>24.53</v>
      </c>
      <c r="P51" s="28">
        <v>18.2</v>
      </c>
    </row>
    <row r="52" spans="1:16" ht="15.6">
      <c r="A52"/>
      <c r="B52"/>
      <c r="J52" s="62"/>
      <c r="K52" s="67"/>
      <c r="L52" s="67"/>
      <c r="M52" s="7"/>
      <c r="N52" s="116"/>
      <c r="O52" s="116"/>
      <c r="P52" s="116"/>
    </row>
    <row r="53" spans="1:16" ht="15.6">
      <c r="A53" s="42" t="s">
        <v>122</v>
      </c>
      <c r="B53" s="108">
        <v>0</v>
      </c>
      <c r="C53" s="108"/>
      <c r="D53" s="108"/>
      <c r="E53" s="108">
        <v>65.899664999999999</v>
      </c>
      <c r="F53" s="108">
        <v>65.899664999999999</v>
      </c>
      <c r="G53" s="108">
        <f>65899665/1000000</f>
        <v>65.899664999999999</v>
      </c>
      <c r="J53" s="64" t="s">
        <v>43</v>
      </c>
      <c r="K53" s="38">
        <f>K24+K13</f>
        <v>15943.900000000001</v>
      </c>
      <c r="L53" s="38">
        <f t="shared" ref="L53" si="17">L24+L13</f>
        <v>26701.579999999998</v>
      </c>
      <c r="M53" s="38">
        <f>M24+M13+M32</f>
        <v>27985.989999999998</v>
      </c>
      <c r="N53" s="38">
        <f>N24+N13</f>
        <v>38188.449999999997</v>
      </c>
      <c r="O53" s="124">
        <f>O24+O13</f>
        <v>42636.18</v>
      </c>
      <c r="P53" s="124">
        <f>P24+P13</f>
        <v>53271.479999999996</v>
      </c>
    </row>
    <row r="54" spans="1:16" ht="15.6">
      <c r="A54" s="42" t="s">
        <v>128</v>
      </c>
      <c r="B54" s="42">
        <v>1</v>
      </c>
      <c r="C54" s="42">
        <v>1</v>
      </c>
      <c r="D54" s="42">
        <v>1</v>
      </c>
      <c r="E54" s="112">
        <v>5</v>
      </c>
      <c r="F54" s="112">
        <v>5</v>
      </c>
      <c r="G54" s="112">
        <v>5</v>
      </c>
      <c r="J54" s="64" t="s">
        <v>101</v>
      </c>
      <c r="K54" s="38">
        <f>K44+K34+K7</f>
        <v>15943.9</v>
      </c>
      <c r="L54" s="38">
        <f>L44+L34+L7</f>
        <v>26701.58</v>
      </c>
      <c r="M54" s="38">
        <f>M44+M34+M7+M52</f>
        <v>27985.989999999998</v>
      </c>
      <c r="N54" s="38">
        <f>N44+N34+N7</f>
        <v>38188.449999999997</v>
      </c>
      <c r="O54" s="124">
        <f>O44+O34+O7</f>
        <v>42636.180000000008</v>
      </c>
      <c r="P54" s="124">
        <f>P44+P34+P7</f>
        <v>53271.48</v>
      </c>
    </row>
    <row r="55" spans="1:16" ht="15.6">
      <c r="A55" s="42" t="s">
        <v>36</v>
      </c>
      <c r="B55" s="52">
        <f t="shared" ref="B55:F55" si="18">B53*K57</f>
        <v>0</v>
      </c>
      <c r="C55" s="52">
        <f t="shared" si="18"/>
        <v>0</v>
      </c>
      <c r="D55" s="52">
        <f t="shared" si="18"/>
        <v>0</v>
      </c>
      <c r="E55" s="52">
        <f t="shared" si="18"/>
        <v>21407.506175250001</v>
      </c>
      <c r="F55" s="52">
        <f t="shared" si="18"/>
        <v>20066.447992500001</v>
      </c>
      <c r="G55" s="52">
        <f>G53*P57</f>
        <v>22379.526234000001</v>
      </c>
      <c r="J55" s="99"/>
      <c r="K55" s="100"/>
      <c r="L55" s="100"/>
      <c r="M55" s="100"/>
      <c r="N55" s="100"/>
      <c r="O55" s="100"/>
      <c r="P55" s="100"/>
    </row>
    <row r="56" spans="1:16" ht="15.6">
      <c r="A56" s="42" t="s">
        <v>39</v>
      </c>
      <c r="B56" s="52">
        <f t="shared" ref="B56:G56" si="19">K9</f>
        <v>4889.93</v>
      </c>
      <c r="C56" s="52">
        <f t="shared" si="19"/>
        <v>8817.39</v>
      </c>
      <c r="D56" s="52">
        <f t="shared" si="19"/>
        <v>10657.57</v>
      </c>
      <c r="E56" s="52">
        <f t="shared" si="19"/>
        <v>6857.63</v>
      </c>
      <c r="F56" s="52">
        <f t="shared" si="19"/>
        <v>8991.33</v>
      </c>
      <c r="G56" s="52">
        <f>P9</f>
        <v>9585.66</v>
      </c>
      <c r="J56" s="64"/>
      <c r="K56" s="98" t="s">
        <v>83</v>
      </c>
      <c r="L56" s="98" t="s">
        <v>94</v>
      </c>
      <c r="M56" s="38" t="s">
        <v>141</v>
      </c>
      <c r="N56" s="38" t="s">
        <v>144</v>
      </c>
      <c r="O56" s="38" t="s">
        <v>145</v>
      </c>
      <c r="P56" s="38" t="s">
        <v>154</v>
      </c>
    </row>
    <row r="57" spans="1:16" ht="15.6">
      <c r="A57" s="42" t="s">
        <v>37</v>
      </c>
      <c r="B57" s="52">
        <f>SUM(K28:K29)</f>
        <v>289.47000000000003</v>
      </c>
      <c r="C57" s="52">
        <f t="shared" ref="C57" si="20">SUM(L28:L29)</f>
        <v>451.94</v>
      </c>
      <c r="D57" s="52">
        <f>SUM(M28:M29)</f>
        <v>346.28999999999996</v>
      </c>
      <c r="E57" s="52">
        <f>N28+N29</f>
        <v>1450.28</v>
      </c>
      <c r="F57" s="52">
        <f>O28+O29</f>
        <v>219.54000000000002</v>
      </c>
      <c r="G57" s="52">
        <f>P28+P29</f>
        <v>812.11</v>
      </c>
      <c r="J57" s="69" t="s">
        <v>123</v>
      </c>
      <c r="K57" s="78">
        <v>0</v>
      </c>
      <c r="L57" s="78"/>
      <c r="M57" s="84"/>
      <c r="N57" s="118">
        <v>324.85000000000002</v>
      </c>
      <c r="O57" s="118">
        <v>304.5</v>
      </c>
      <c r="P57" s="118">
        <v>339.6</v>
      </c>
    </row>
    <row r="58" spans="1:16" ht="15.6">
      <c r="A58" s="42" t="s">
        <v>38</v>
      </c>
      <c r="B58" s="44">
        <f t="shared" ref="B58:D58" si="21">B55+B56-B57</f>
        <v>4600.46</v>
      </c>
      <c r="C58" s="44">
        <f t="shared" si="21"/>
        <v>8365.4499999999989</v>
      </c>
      <c r="D58" s="44">
        <f t="shared" si="21"/>
        <v>10311.279999999999</v>
      </c>
      <c r="E58" s="44">
        <f>E55+E56-E57</f>
        <v>26814.856175250003</v>
      </c>
      <c r="F58" s="44">
        <f>F55+F56-F57</f>
        <v>28838.237992499999</v>
      </c>
      <c r="G58" s="44">
        <f>G55+G56-G57</f>
        <v>31153.076234</v>
      </c>
      <c r="J58" s="69" t="s">
        <v>18</v>
      </c>
      <c r="K58" s="79">
        <f t="shared" ref="K58:P58" si="22">B30</f>
        <v>31.2</v>
      </c>
      <c r="L58" s="79">
        <f t="shared" si="22"/>
        <v>43.57</v>
      </c>
      <c r="M58" s="79">
        <f t="shared" si="22"/>
        <v>29.5</v>
      </c>
      <c r="N58" s="79">
        <f t="shared" si="22"/>
        <v>31.14</v>
      </c>
      <c r="O58" s="79">
        <f t="shared" si="22"/>
        <v>31.57</v>
      </c>
      <c r="P58" s="79">
        <f>G31</f>
        <v>41.18</v>
      </c>
    </row>
    <row r="59" spans="1:16" ht="15.6">
      <c r="A59" s="3"/>
      <c r="B59" s="5"/>
      <c r="C59" s="5"/>
      <c r="D59" s="5"/>
      <c r="E59" s="5"/>
      <c r="F59" s="5"/>
      <c r="J59" s="80" t="s">
        <v>19</v>
      </c>
      <c r="K59" s="81" t="e">
        <f>$K$7/$B$53</f>
        <v>#DIV/0!</v>
      </c>
      <c r="L59" s="81" t="e">
        <f>$L$7/$C$53</f>
        <v>#DIV/0!</v>
      </c>
      <c r="M59" s="81" t="e">
        <f>$M$7/$D$53</f>
        <v>#DIV/0!</v>
      </c>
      <c r="N59" s="81">
        <f>$N$7/$E$53</f>
        <v>235.31212184462547</v>
      </c>
      <c r="O59" s="117">
        <f>$O$7/$F$53</f>
        <v>264.64170948365216</v>
      </c>
      <c r="P59" s="81">
        <f>$P$7/$G$53</f>
        <v>308.98912763820573</v>
      </c>
    </row>
    <row r="60" spans="1:16" ht="15.6">
      <c r="E60" s="122"/>
      <c r="J60" s="80" t="s">
        <v>20</v>
      </c>
      <c r="K60" s="82"/>
      <c r="L60" s="82"/>
      <c r="M60" s="82"/>
      <c r="N60" s="82"/>
      <c r="O60" s="82"/>
      <c r="P60" s="82"/>
    </row>
    <row r="61" spans="1:16" ht="15.6">
      <c r="E61" s="97"/>
      <c r="J61" s="80" t="s">
        <v>21</v>
      </c>
      <c r="K61" s="81">
        <f>(K57/K58)</f>
        <v>0</v>
      </c>
      <c r="L61" s="81">
        <f>(L57/L58)</f>
        <v>0</v>
      </c>
      <c r="M61" s="81">
        <f t="shared" ref="M61:O61" si="23">(M57/M58)</f>
        <v>0</v>
      </c>
      <c r="N61" s="81">
        <f>(N57/N58)</f>
        <v>10.431920359666025</v>
      </c>
      <c r="O61" s="81">
        <f t="shared" si="23"/>
        <v>9.6452328159645226</v>
      </c>
      <c r="P61" s="81">
        <f>(P57/P58)</f>
        <v>8.2467217095677512</v>
      </c>
    </row>
    <row r="62" spans="1:16" ht="15.75" customHeight="1">
      <c r="J62" s="80" t="s">
        <v>22</v>
      </c>
      <c r="K62" s="81" t="e">
        <f t="shared" ref="K62:O62" si="24">K57/K59</f>
        <v>#DIV/0!</v>
      </c>
      <c r="L62" s="81" t="e">
        <f t="shared" si="24"/>
        <v>#DIV/0!</v>
      </c>
      <c r="M62" s="81" t="e">
        <f t="shared" si="24"/>
        <v>#DIV/0!</v>
      </c>
      <c r="N62" s="81">
        <f t="shared" si="24"/>
        <v>1.3805068665969347</v>
      </c>
      <c r="O62" s="117">
        <f t="shared" si="24"/>
        <v>1.1506122772336838</v>
      </c>
      <c r="P62" s="117">
        <f>P57/P59</f>
        <v>1.0990677976140197</v>
      </c>
    </row>
    <row r="63" spans="1:16" ht="15.6">
      <c r="J63" s="80" t="s">
        <v>23</v>
      </c>
      <c r="K63" s="82">
        <f t="shared" ref="K63:P63" si="25">B58/B14</f>
        <v>2.2060324158434819</v>
      </c>
      <c r="L63" s="82">
        <f t="shared" si="25"/>
        <v>2.8191747491018924</v>
      </c>
      <c r="M63" s="101">
        <f t="shared" si="25"/>
        <v>4.0765070529445211</v>
      </c>
      <c r="N63" s="101">
        <f t="shared" si="25"/>
        <v>9.1551088872292219</v>
      </c>
      <c r="O63" s="101">
        <f t="shared" si="25"/>
        <v>9.6037824671974121</v>
      </c>
      <c r="P63" s="101">
        <f>G58/G14</f>
        <v>6.7911277682830393</v>
      </c>
    </row>
    <row r="64" spans="1:16" ht="15.6">
      <c r="J64" s="80" t="s">
        <v>24</v>
      </c>
      <c r="K64" s="88" t="e">
        <f t="shared" ref="K64:P64" si="26">B24/K7</f>
        <v>#REF!</v>
      </c>
      <c r="L64" s="88" t="e">
        <f t="shared" si="26"/>
        <v>#REF!</v>
      </c>
      <c r="M64" s="88">
        <f t="shared" si="26"/>
        <v>0.17664134687541208</v>
      </c>
      <c r="N64" s="88">
        <f t="shared" si="26"/>
        <v>9.2769776726495404E-2</v>
      </c>
      <c r="O64" s="88">
        <f t="shared" si="26"/>
        <v>0.12025137902957368</v>
      </c>
      <c r="P64" s="88">
        <f>G24/P7</f>
        <v>0.13866128940373956</v>
      </c>
    </row>
    <row r="65" spans="1:16" ht="15.6">
      <c r="J65" s="80" t="s">
        <v>25</v>
      </c>
      <c r="K65" s="88">
        <f>($B$14-$B$18)/K12</f>
        <v>0.4228335857311124</v>
      </c>
      <c r="L65" s="88">
        <f>(C14-C18)/L12</f>
        <v>0.43523183944690746</v>
      </c>
      <c r="M65" s="88">
        <f>(D14-D18)/M12</f>
        <v>0.31453545336428923</v>
      </c>
      <c r="N65" s="88">
        <f>(E14-E18)/N12</f>
        <v>0.17544378603510577</v>
      </c>
      <c r="O65" s="88">
        <f>(F14-F18)/O12</f>
        <v>0.161042360103551</v>
      </c>
      <c r="P65" s="88">
        <f>(G14-G18)/P12</f>
        <v>0.21223827431555475</v>
      </c>
    </row>
    <row r="66" spans="1:16" ht="15.6">
      <c r="A66" s="3"/>
      <c r="B66" s="5"/>
      <c r="J66" s="80" t="s">
        <v>26</v>
      </c>
      <c r="K66" s="76">
        <f>$K$9/$K$8</f>
        <v>1.2402868172617931</v>
      </c>
      <c r="L66" s="76">
        <f>L9/L8</f>
        <v>1.5330805262004861</v>
      </c>
      <c r="M66" s="76">
        <f>M9/M8</f>
        <v>1.5221012071043776</v>
      </c>
      <c r="N66" s="76">
        <f>N9/N8</f>
        <v>0.44226110936266594</v>
      </c>
      <c r="O66" s="76">
        <f>O9/O8</f>
        <v>0.51610272081939712</v>
      </c>
      <c r="P66" s="76">
        <f>P9/P8</f>
        <v>0.47336475712405651</v>
      </c>
    </row>
    <row r="67" spans="1:16" ht="15.6">
      <c r="J67" s="80" t="s">
        <v>27</v>
      </c>
      <c r="K67" s="76">
        <f>($K$9-SUM($K$28:$K$29))/$K$7</f>
        <v>1.1588002075556294</v>
      </c>
      <c r="L67" s="76">
        <f>(L9-SUM(L28:L29))/L7</f>
        <v>1.4464863425489642</v>
      </c>
      <c r="M67" s="76">
        <f>(M9-SUM(M28:M29))/M7</f>
        <v>1.4766937622803848</v>
      </c>
      <c r="N67" s="76">
        <f>(N9-SUM(N28:N29))/N7</f>
        <v>0.34870403605083905</v>
      </c>
      <c r="O67" s="76">
        <f>(O9-SUM(O28:O29))/O7</f>
        <v>0.50297537815800641</v>
      </c>
      <c r="P67" s="76">
        <f>(P9-SUM(P28:P29))/P7</f>
        <v>0.43087267241193028</v>
      </c>
    </row>
    <row r="68" spans="1:16" ht="15.6">
      <c r="B68" s="6"/>
      <c r="J68" s="80" t="s">
        <v>28</v>
      </c>
      <c r="K68" s="63" t="s">
        <v>86</v>
      </c>
      <c r="L68" s="63" t="s">
        <v>86</v>
      </c>
      <c r="M68" s="63">
        <v>0</v>
      </c>
      <c r="N68" s="63">
        <v>0</v>
      </c>
      <c r="O68" s="63">
        <v>0</v>
      </c>
      <c r="P68" s="63"/>
    </row>
    <row r="69" spans="1:16" ht="15.6">
      <c r="J69" s="80" t="s">
        <v>29</v>
      </c>
      <c r="K69" s="67">
        <f>(AVERAGE($K$27:$K$27)/$B$4*365)</f>
        <v>48.812640842740848</v>
      </c>
      <c r="L69" s="67">
        <f>(AVERAGE(K27:L27)/C4*365)</f>
        <v>38.103592626052809</v>
      </c>
      <c r="M69" s="67">
        <f>(AVERAGE(L27:M27)/D4*365)</f>
        <v>39.065641864387544</v>
      </c>
      <c r="N69" s="67">
        <f>(AVERAGE(M27:N27)/E4*365)</f>
        <v>37.108252293122348</v>
      </c>
      <c r="O69" s="67">
        <f>(AVERAGE(N27:O27)/F4)*365</f>
        <v>42.129562992326946</v>
      </c>
      <c r="P69" s="67">
        <f>(AVERAGE(O27:P27)/G4)*365</f>
        <v>45.884137679004368</v>
      </c>
    </row>
    <row r="70" spans="1:16" ht="15.6">
      <c r="J70" s="80" t="s">
        <v>30</v>
      </c>
      <c r="K70" s="67" t="e">
        <f>(AVERAGE(#REF!,$K$37))/SUM($B$9:$B$11)*365</f>
        <v>#REF!</v>
      </c>
      <c r="L70" s="67">
        <f>(AVERAGE(K37,L37))/SUM(C9:C11)*365</f>
        <v>37.180742873244796</v>
      </c>
      <c r="M70" s="67">
        <f>(AVERAGE(L37,M37))/SUM(D9:D11)*365</f>
        <v>42.678637355891617</v>
      </c>
      <c r="N70" s="67">
        <f>(AVERAGE(M37,N37))/SUM(E9:E11)*365</f>
        <v>42.734002273561345</v>
      </c>
      <c r="O70" s="67">
        <f>(AVERAGE(N37,O37))/SUM(F9:F11)*365</f>
        <v>42.577414367076898</v>
      </c>
      <c r="P70" s="67">
        <f>(AVERAGE(O37,P37))/SUM(G9:G11)*365</f>
        <v>45.294411824965344</v>
      </c>
    </row>
    <row r="71" spans="1:16" ht="15.6">
      <c r="J71" s="80" t="s">
        <v>31</v>
      </c>
      <c r="K71" s="63">
        <f>AVERAGE($K$25:$K$25)/(SUM($B$9:$B$11))*365</f>
        <v>37.455664668366182</v>
      </c>
      <c r="L71" s="63">
        <f>AVERAGE(K25:L25)/(SUM(C9:C11))*365</f>
        <v>36.755812748074256</v>
      </c>
      <c r="M71" s="63">
        <f>AVERAGE(L25:M25)/(SUM(D9:D11))*365</f>
        <v>55.128529307203912</v>
      </c>
      <c r="N71" s="63">
        <f>AVERAGE(M25:N25)/(SUM(E9:E11))*365</f>
        <v>57.664748686531723</v>
      </c>
      <c r="O71" s="63">
        <f>AVERAGE(N25:O25)/(SUM(F9:F11))*365</f>
        <v>53.500698019597436</v>
      </c>
      <c r="P71" s="63">
        <f>AVERAGE(O25:P25)/(SUM(G9:G11))*365</f>
        <v>55.564940732611625</v>
      </c>
    </row>
    <row r="72" spans="1:16" ht="15.6">
      <c r="J72" s="80" t="s">
        <v>41</v>
      </c>
      <c r="K72" s="63" t="e">
        <f>$K$69+$K$71-$K$70</f>
        <v>#REF!</v>
      </c>
      <c r="L72" s="63">
        <f t="shared" ref="L72:N72" si="27">L69+L71-L70</f>
        <v>37.678662500882268</v>
      </c>
      <c r="M72" s="63">
        <f>M69+M71-M70</f>
        <v>51.515533815699833</v>
      </c>
      <c r="N72" s="63">
        <f t="shared" si="27"/>
        <v>52.038998706092727</v>
      </c>
      <c r="O72" s="63">
        <f>O69+O71-O70</f>
        <v>53.052846644847477</v>
      </c>
      <c r="P72" s="63">
        <f>P69+P71-P70</f>
        <v>56.154666586650656</v>
      </c>
    </row>
    <row r="73" spans="1:16" ht="15.6">
      <c r="J73" s="80" t="s">
        <v>32</v>
      </c>
      <c r="K73" s="63">
        <f>(AVERAGE($K$13:$K$13)/$B$4)*365</f>
        <v>5.9855818889568493</v>
      </c>
      <c r="L73" s="63">
        <f>(AVERAGE(K13:L13)/C4)*365</f>
        <v>4.2283024270951284</v>
      </c>
      <c r="M73" s="63">
        <f>(AVERAGE(L13:M13)/D4)*365</f>
        <v>4.709747036236184</v>
      </c>
      <c r="N73" s="63">
        <f>(AVERAGE(M13:N13)/E4)*365</f>
        <v>3.9382417168993697</v>
      </c>
      <c r="O73" s="63">
        <f>(AVERAGE(N13:O13)/F4)*365</f>
        <v>2.6730083273958769</v>
      </c>
      <c r="P73" s="63">
        <f>(AVERAGE(O13:P13)/G4)*365</f>
        <v>2.2488059741193354</v>
      </c>
    </row>
    <row r="74" spans="1:16" ht="15.6">
      <c r="J74" s="83" t="s">
        <v>42</v>
      </c>
      <c r="K74" s="77">
        <f>$B$19/$K$9</f>
        <v>5.9000844592867377E-2</v>
      </c>
      <c r="L74" s="77">
        <f>C19/L9</f>
        <v>6.0884229913840723E-2</v>
      </c>
      <c r="M74" s="77">
        <f>D19/M9</f>
        <v>8.0990319556897117E-2</v>
      </c>
      <c r="N74" s="77">
        <f>E19/N9</f>
        <v>0.15623327592768932</v>
      </c>
      <c r="O74" s="77">
        <f>F19/O9</f>
        <v>8.623418337442848E-2</v>
      </c>
      <c r="P74" s="77">
        <f>G19/P9</f>
        <v>0.11109720144465797</v>
      </c>
    </row>
    <row r="75" spans="1:16" ht="15.6">
      <c r="J75" s="83" t="s">
        <v>143</v>
      </c>
      <c r="K75" s="63">
        <f>$B$4/AVERAGE($K$14:$K$14)</f>
        <v>113.6242089517892</v>
      </c>
      <c r="L75" s="63">
        <f>C4/AVERAGE(K14:L14)</f>
        <v>169.08775337914506</v>
      </c>
      <c r="M75" s="63">
        <f>D4/AVERAGE(L14:M14)</f>
        <v>168.84902442291377</v>
      </c>
      <c r="N75" s="63">
        <f>E4/AVERAGE(M14:N14)</f>
        <v>208.35700536165336</v>
      </c>
      <c r="O75" s="63">
        <f>F4/AVERAGE(N14:O14)</f>
        <v>270.68518700497236</v>
      </c>
      <c r="P75" s="63">
        <f>G4/AVERAGE(O14:P14)</f>
        <v>334.89213093248128</v>
      </c>
    </row>
    <row r="76" spans="1:16" ht="15.6">
      <c r="J76" s="83" t="s">
        <v>139</v>
      </c>
      <c r="K76" s="63">
        <f>($B$14-$B$18)/$B$19</f>
        <v>6.9679387196284415</v>
      </c>
      <c r="L76" s="63">
        <f>(C14-C18)/C19</f>
        <v>5.3097570970866483</v>
      </c>
      <c r="M76" s="63">
        <f>(D14-D18)/D19</f>
        <v>2.7373140553315753</v>
      </c>
      <c r="N76" s="63">
        <f>(E14-E18)/E19</f>
        <v>2.5575747393572805</v>
      </c>
      <c r="O76" s="63">
        <f>(F14-F18)/F19</f>
        <v>3.6504333470903312</v>
      </c>
      <c r="P76" s="63">
        <f>(G14-G18)/G19</f>
        <v>4.1055552425488555</v>
      </c>
    </row>
  </sheetData>
  <mergeCells count="1">
    <mergeCell ref="A1:O1"/>
  </mergeCells>
  <phoneticPr fontId="25" type="noConversion"/>
  <pageMargins left="0.25" right="0.25" top="0.75" bottom="0.75" header="0.3" footer="0.3"/>
  <pageSetup scale="60" orientation="portrait" r:id="rId1"/>
  <ignoredErrors>
    <ignoredError sqref="M5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2"/>
  <sheetViews>
    <sheetView topLeftCell="A31" workbookViewId="0">
      <selection activeCell="B39" sqref="B39"/>
    </sheetView>
  </sheetViews>
  <sheetFormatPr defaultColWidth="23.6640625" defaultRowHeight="14.4"/>
  <cols>
    <col min="1" max="1" width="26.6640625" bestFit="1" customWidth="1"/>
    <col min="2" max="2" width="16.6640625" bestFit="1" customWidth="1"/>
    <col min="3" max="3" width="13.44140625" bestFit="1" customWidth="1"/>
    <col min="4" max="4" width="11.44140625" bestFit="1" customWidth="1"/>
    <col min="5" max="5" width="14.109375" bestFit="1" customWidth="1"/>
    <col min="6" max="6" width="12.33203125" bestFit="1" customWidth="1"/>
  </cols>
  <sheetData>
    <row r="1" spans="1:6" ht="18">
      <c r="A1" s="129" t="s">
        <v>82</v>
      </c>
      <c r="B1" s="130"/>
      <c r="C1" s="130"/>
      <c r="D1" s="130"/>
      <c r="E1" s="130"/>
      <c r="F1" s="131"/>
    </row>
    <row r="2" spans="1:6" ht="18">
      <c r="A2" s="9"/>
      <c r="B2" s="25" t="s">
        <v>48</v>
      </c>
      <c r="C2" s="25" t="s">
        <v>49</v>
      </c>
      <c r="D2" s="25" t="s">
        <v>50</v>
      </c>
      <c r="E2" s="25" t="s">
        <v>51</v>
      </c>
      <c r="F2" s="25" t="s">
        <v>52</v>
      </c>
    </row>
    <row r="3" spans="1:6">
      <c r="A3" s="126" t="s">
        <v>81</v>
      </c>
      <c r="B3" s="127"/>
      <c r="C3" s="127"/>
      <c r="D3" s="127"/>
      <c r="E3" s="127"/>
      <c r="F3" s="128"/>
    </row>
    <row r="4" spans="1:6">
      <c r="A4" s="10" t="s">
        <v>44</v>
      </c>
      <c r="B4" s="11"/>
      <c r="C4" s="11"/>
      <c r="D4" s="11"/>
      <c r="E4" s="12"/>
      <c r="F4" s="13"/>
    </row>
    <row r="5" spans="1:6">
      <c r="A5" s="14" t="s">
        <v>53</v>
      </c>
      <c r="B5" s="8" t="e">
        <f>#REF!</f>
        <v>#REF!</v>
      </c>
      <c r="C5" s="8" t="e">
        <f>#REF!</f>
        <v>#REF!</v>
      </c>
      <c r="D5" s="8" t="e">
        <f>#REF!</f>
        <v>#REF!</v>
      </c>
      <c r="E5" s="8" t="e">
        <f>#REF!</f>
        <v>#REF!</v>
      </c>
      <c r="F5" s="8" t="e">
        <f>#REF!</f>
        <v>#REF!</v>
      </c>
    </row>
    <row r="6" spans="1:6">
      <c r="A6" s="14" t="s">
        <v>54</v>
      </c>
      <c r="B6" s="26" t="e">
        <f>#REF!</f>
        <v>#REF!</v>
      </c>
      <c r="C6" s="26" t="e">
        <f>#REF!</f>
        <v>#REF!</v>
      </c>
      <c r="D6" s="26" t="e">
        <f>#REF!</f>
        <v>#REF!</v>
      </c>
      <c r="E6" s="26" t="e">
        <f>#REF!</f>
        <v>#REF!</v>
      </c>
      <c r="F6" s="26" t="e">
        <f>#REF!</f>
        <v>#REF!</v>
      </c>
    </row>
    <row r="7" spans="1:6">
      <c r="A7" s="10" t="s">
        <v>1</v>
      </c>
      <c r="B7" s="27" t="e">
        <f>#REF!</f>
        <v>#REF!</v>
      </c>
      <c r="C7" s="27" t="e">
        <f>#REF!</f>
        <v>#REF!</v>
      </c>
      <c r="D7" s="27" t="e">
        <f>#REF!</f>
        <v>#REF!</v>
      </c>
      <c r="E7" s="27" t="e">
        <f>#REF!</f>
        <v>#REF!</v>
      </c>
      <c r="F7" s="27" t="e">
        <f>#REF!</f>
        <v>#REF!</v>
      </c>
    </row>
    <row r="8" spans="1:6">
      <c r="A8" s="14" t="s">
        <v>54</v>
      </c>
      <c r="B8" s="26" t="e">
        <f>#REF!</f>
        <v>#REF!</v>
      </c>
      <c r="C8" s="26" t="e">
        <f>#REF!</f>
        <v>#REF!</v>
      </c>
      <c r="D8" s="26" t="e">
        <f>#REF!</f>
        <v>#REF!</v>
      </c>
      <c r="E8" s="26" t="e">
        <f>#REF!</f>
        <v>#REF!</v>
      </c>
      <c r="F8" s="26" t="e">
        <f>#REF!</f>
        <v>#REF!</v>
      </c>
    </row>
    <row r="9" spans="1:6">
      <c r="A9" s="10" t="s">
        <v>55</v>
      </c>
      <c r="B9" s="17" t="e">
        <f>B7/B5</f>
        <v>#REF!</v>
      </c>
      <c r="C9" s="17" t="e">
        <f t="shared" ref="C9:F9" si="0">C7/C5</f>
        <v>#REF!</v>
      </c>
      <c r="D9" s="18" t="e">
        <f t="shared" si="0"/>
        <v>#REF!</v>
      </c>
      <c r="E9" s="17" t="e">
        <f t="shared" si="0"/>
        <v>#REF!</v>
      </c>
      <c r="F9" s="17" t="e">
        <f t="shared" si="0"/>
        <v>#REF!</v>
      </c>
    </row>
    <row r="10" spans="1:6">
      <c r="A10" s="10" t="s">
        <v>8</v>
      </c>
      <c r="B10" s="27" t="e">
        <f>#REF!</f>
        <v>#REF!</v>
      </c>
      <c r="C10" s="27" t="e">
        <f>#REF!</f>
        <v>#REF!</v>
      </c>
      <c r="D10" s="27" t="e">
        <f>#REF!</f>
        <v>#REF!</v>
      </c>
      <c r="E10" s="27" t="e">
        <f>#REF!</f>
        <v>#REF!</v>
      </c>
      <c r="F10" s="27" t="e">
        <f>#REF!</f>
        <v>#REF!</v>
      </c>
    </row>
    <row r="11" spans="1:6">
      <c r="A11" s="14" t="s">
        <v>54</v>
      </c>
      <c r="B11" s="26" t="e">
        <f>#REF!</f>
        <v>#REF!</v>
      </c>
      <c r="C11" s="26" t="e">
        <f>#REF!</f>
        <v>#REF!</v>
      </c>
      <c r="D11" s="26" t="e">
        <f>#REF!</f>
        <v>#REF!</v>
      </c>
      <c r="E11" s="26" t="e">
        <f>#REF!</f>
        <v>#REF!</v>
      </c>
      <c r="F11" s="26" t="e">
        <f>#REF!</f>
        <v>#REF!</v>
      </c>
    </row>
    <row r="12" spans="1:6">
      <c r="A12" s="10" t="s">
        <v>56</v>
      </c>
      <c r="B12" s="17" t="e">
        <f>B10/B5</f>
        <v>#REF!</v>
      </c>
      <c r="C12" s="17" t="e">
        <f t="shared" ref="C12:F12" si="1">C10/C5</f>
        <v>#REF!</v>
      </c>
      <c r="D12" s="18" t="e">
        <f>D10/D5</f>
        <v>#REF!</v>
      </c>
      <c r="E12" s="17" t="e">
        <f t="shared" si="1"/>
        <v>#REF!</v>
      </c>
      <c r="F12" s="17" t="e">
        <f t="shared" si="1"/>
        <v>#REF!</v>
      </c>
    </row>
    <row r="13" spans="1:6">
      <c r="A13" s="14" t="s">
        <v>10</v>
      </c>
      <c r="B13" s="8" t="e">
        <f>#REF!</f>
        <v>#REF!</v>
      </c>
      <c r="C13" s="8" t="e">
        <f>#REF!</f>
        <v>#REF!</v>
      </c>
      <c r="D13" s="8" t="e">
        <f>#REF!</f>
        <v>#REF!</v>
      </c>
      <c r="E13" s="8" t="e">
        <f>#REF!</f>
        <v>#REF!</v>
      </c>
      <c r="F13" s="8" t="e">
        <f>#REF!</f>
        <v>#REF!</v>
      </c>
    </row>
    <row r="14" spans="1:6">
      <c r="A14" s="19"/>
      <c r="B14" s="20"/>
      <c r="C14" s="20"/>
      <c r="D14" s="20"/>
      <c r="E14" s="20"/>
      <c r="F14" s="21"/>
    </row>
    <row r="15" spans="1:6">
      <c r="A15" s="19"/>
      <c r="B15" s="20"/>
      <c r="C15" s="20"/>
      <c r="D15" s="20"/>
      <c r="E15" s="20"/>
      <c r="F15" s="21"/>
    </row>
    <row r="16" spans="1:6">
      <c r="A16" s="126" t="s">
        <v>57</v>
      </c>
      <c r="B16" s="127"/>
      <c r="C16" s="127"/>
      <c r="D16" s="127"/>
      <c r="E16" s="127"/>
      <c r="F16" s="128"/>
    </row>
    <row r="17" spans="1:6">
      <c r="A17" s="10" t="s">
        <v>58</v>
      </c>
      <c r="B17" s="8" t="e">
        <f>#REF!</f>
        <v>#REF!</v>
      </c>
      <c r="C17" s="8" t="e">
        <f>#REF!</f>
        <v>#REF!</v>
      </c>
      <c r="D17" s="8" t="e">
        <f>#REF!</f>
        <v>#REF!</v>
      </c>
      <c r="E17" s="8" t="e">
        <f>#REF!</f>
        <v>#REF!</v>
      </c>
      <c r="F17" s="8" t="e">
        <f>#REF!</f>
        <v>#REF!</v>
      </c>
    </row>
    <row r="18" spans="1:6">
      <c r="A18" s="10" t="s">
        <v>39</v>
      </c>
      <c r="B18" s="8" t="e">
        <f>#REF!</f>
        <v>#REF!</v>
      </c>
      <c r="C18" s="8" t="e">
        <f>#REF!</f>
        <v>#REF!</v>
      </c>
      <c r="D18" s="8" t="e">
        <f>#REF!</f>
        <v>#REF!</v>
      </c>
      <c r="E18" s="8" t="e">
        <f>#REF!</f>
        <v>#REF!</v>
      </c>
      <c r="F18" s="8" t="e">
        <f>#REF!</f>
        <v>#REF!</v>
      </c>
    </row>
    <row r="19" spans="1:6">
      <c r="A19" s="22" t="s">
        <v>59</v>
      </c>
      <c r="B19" s="8" t="e">
        <f>#REF!</f>
        <v>#REF!</v>
      </c>
      <c r="C19" s="8" t="e">
        <f>#REF!</f>
        <v>#REF!</v>
      </c>
      <c r="D19" s="8" t="e">
        <f>#REF!</f>
        <v>#REF!</v>
      </c>
      <c r="E19" s="8" t="e">
        <f>#REF!</f>
        <v>#REF!</v>
      </c>
      <c r="F19" s="8" t="e">
        <f>#REF!</f>
        <v>#REF!</v>
      </c>
    </row>
    <row r="20" spans="1:6">
      <c r="A20" s="22" t="s">
        <v>60</v>
      </c>
      <c r="B20" s="8" t="e">
        <f>#REF!</f>
        <v>#REF!</v>
      </c>
      <c r="C20" s="8" t="e">
        <f>#REF!</f>
        <v>#REF!</v>
      </c>
      <c r="D20" s="8" t="e">
        <f>#REF!</f>
        <v>#REF!</v>
      </c>
      <c r="E20" s="8" t="e">
        <f>#REF!</f>
        <v>#REF!</v>
      </c>
      <c r="F20" s="8" t="e">
        <f>#REF!</f>
        <v>#REF!</v>
      </c>
    </row>
    <row r="21" spans="1:6">
      <c r="A21" s="19"/>
      <c r="B21" s="20"/>
      <c r="C21" s="20"/>
      <c r="D21" s="20"/>
      <c r="E21" s="20"/>
      <c r="F21" s="20"/>
    </row>
    <row r="22" spans="1:6">
      <c r="A22" s="19"/>
      <c r="B22" s="20"/>
      <c r="C22" s="20"/>
      <c r="D22" s="20"/>
      <c r="E22" s="20"/>
      <c r="F22" s="20"/>
    </row>
    <row r="23" spans="1:6">
      <c r="A23" s="132" t="s">
        <v>11</v>
      </c>
      <c r="B23" s="132"/>
      <c r="C23" s="132"/>
      <c r="D23" s="132"/>
      <c r="E23" s="132"/>
      <c r="F23" s="132"/>
    </row>
    <row r="24" spans="1:6">
      <c r="A24" s="11" t="s">
        <v>61</v>
      </c>
      <c r="B24" s="7"/>
      <c r="C24" s="15"/>
      <c r="D24" s="15"/>
      <c r="E24" s="15"/>
      <c r="F24" s="15"/>
    </row>
    <row r="25" spans="1:6">
      <c r="A25" s="11" t="s">
        <v>16</v>
      </c>
      <c r="B25" s="23"/>
      <c r="C25" s="16"/>
      <c r="D25" s="16"/>
      <c r="E25" s="16"/>
      <c r="F25" s="16"/>
    </row>
    <row r="26" spans="1:6">
      <c r="A26" s="7"/>
      <c r="B26" s="7"/>
      <c r="C26" s="7"/>
      <c r="D26" s="7"/>
      <c r="E26" s="7"/>
      <c r="F26" s="7"/>
    </row>
    <row r="27" spans="1:6">
      <c r="A27" s="11" t="s">
        <v>36</v>
      </c>
      <c r="B27" s="23" t="e">
        <f>#REF!</f>
        <v>#REF!</v>
      </c>
      <c r="C27" s="23" t="e">
        <f>#REF!</f>
        <v>#REF!</v>
      </c>
      <c r="D27" s="23" t="e">
        <f>#REF!</f>
        <v>#REF!</v>
      </c>
      <c r="E27" s="23" t="e">
        <f>#REF!</f>
        <v>#REF!</v>
      </c>
      <c r="F27" s="23" t="e">
        <f>#REF!</f>
        <v>#REF!</v>
      </c>
    </row>
    <row r="28" spans="1:6">
      <c r="A28" s="11" t="s">
        <v>62</v>
      </c>
      <c r="B28" s="8" t="e">
        <f>#REF!</f>
        <v>#REF!</v>
      </c>
      <c r="C28" s="8" t="e">
        <f>#REF!</f>
        <v>#REF!</v>
      </c>
      <c r="D28" s="8" t="e">
        <f>#REF!</f>
        <v>#REF!</v>
      </c>
      <c r="E28" s="8" t="e">
        <f>#REF!</f>
        <v>#REF!</v>
      </c>
      <c r="F28" s="8" t="e">
        <f>#REF!</f>
        <v>#REF!</v>
      </c>
    </row>
    <row r="29" spans="1:6">
      <c r="A29" s="19"/>
      <c r="B29" s="20"/>
      <c r="C29" s="20"/>
      <c r="D29" s="20"/>
      <c r="E29" s="133"/>
      <c r="F29" s="134"/>
    </row>
    <row r="30" spans="1:6">
      <c r="A30" s="19"/>
      <c r="B30" s="20"/>
      <c r="C30" s="20"/>
      <c r="D30" s="20"/>
      <c r="E30" s="135"/>
      <c r="F30" s="136"/>
    </row>
    <row r="31" spans="1:6">
      <c r="A31" s="126" t="s">
        <v>63</v>
      </c>
      <c r="B31" s="127"/>
      <c r="C31" s="127"/>
      <c r="D31" s="127"/>
      <c r="E31" s="127"/>
      <c r="F31" s="128"/>
    </row>
    <row r="32" spans="1:6">
      <c r="A32" s="14" t="s">
        <v>64</v>
      </c>
      <c r="B32" s="28" t="e">
        <f>#REF!</f>
        <v>#REF!</v>
      </c>
      <c r="C32" s="28" t="e">
        <f>#REF!</f>
        <v>#REF!</v>
      </c>
      <c r="D32" s="28" t="e">
        <f>#REF!</f>
        <v>#REF!</v>
      </c>
      <c r="E32" s="28" t="e">
        <f>#REF!</f>
        <v>#REF!</v>
      </c>
      <c r="F32" s="28" t="e">
        <f>#REF!</f>
        <v>#REF!</v>
      </c>
    </row>
    <row r="33" spans="1:6">
      <c r="A33" s="14" t="s">
        <v>28</v>
      </c>
      <c r="B33" s="29" t="e">
        <f>#REF!</f>
        <v>#REF!</v>
      </c>
      <c r="C33" s="29" t="e">
        <f>#REF!</f>
        <v>#REF!</v>
      </c>
      <c r="D33" s="29" t="e">
        <f>#REF!</f>
        <v>#REF!</v>
      </c>
      <c r="E33" s="29" t="e">
        <f>#REF!</f>
        <v>#REF!</v>
      </c>
      <c r="F33" s="29" t="e">
        <f>#REF!</f>
        <v>#REF!</v>
      </c>
    </row>
    <row r="34" spans="1:6">
      <c r="A34" s="14" t="s">
        <v>65</v>
      </c>
      <c r="B34" s="8" t="e">
        <f>#REF!</f>
        <v>#REF!</v>
      </c>
      <c r="C34" s="8" t="e">
        <f>#REF!</f>
        <v>#REF!</v>
      </c>
      <c r="D34" s="8" t="e">
        <f>#REF!</f>
        <v>#REF!</v>
      </c>
      <c r="E34" s="8" t="e">
        <f>#REF!</f>
        <v>#REF!</v>
      </c>
      <c r="F34" s="8" t="e">
        <f>#REF!</f>
        <v>#REF!</v>
      </c>
    </row>
    <row r="35" spans="1:6">
      <c r="A35" s="14" t="s">
        <v>66</v>
      </c>
      <c r="B35" s="8" t="e">
        <f>#REF!</f>
        <v>#REF!</v>
      </c>
      <c r="C35" s="8" t="e">
        <f>#REF!</f>
        <v>#REF!</v>
      </c>
      <c r="D35" s="8" t="e">
        <f>#REF!</f>
        <v>#REF!</v>
      </c>
      <c r="E35" s="8" t="e">
        <f>#REF!</f>
        <v>#REF!</v>
      </c>
      <c r="F35" s="8" t="e">
        <f>#REF!</f>
        <v>#REF!</v>
      </c>
    </row>
    <row r="36" spans="1:6">
      <c r="A36" s="19"/>
      <c r="B36" s="20"/>
      <c r="C36" s="20"/>
      <c r="D36" s="20"/>
      <c r="E36" s="20"/>
      <c r="F36" s="21"/>
    </row>
    <row r="37" spans="1:6">
      <c r="A37" s="126" t="s">
        <v>67</v>
      </c>
      <c r="B37" s="127"/>
      <c r="C37" s="127"/>
      <c r="D37" s="127"/>
      <c r="E37" s="127"/>
      <c r="F37" s="128"/>
    </row>
    <row r="38" spans="1:6">
      <c r="A38" s="10" t="s">
        <v>68</v>
      </c>
      <c r="B38" s="11"/>
      <c r="C38" s="11"/>
      <c r="D38" s="11"/>
      <c r="E38" s="12"/>
      <c r="F38" s="13"/>
    </row>
    <row r="39" spans="1:6">
      <c r="A39" s="14" t="s">
        <v>69</v>
      </c>
      <c r="B39" s="8" t="e">
        <f>#REF!</f>
        <v>#REF!</v>
      </c>
      <c r="C39" s="8" t="e">
        <f>#REF!</f>
        <v>#REF!</v>
      </c>
      <c r="D39" s="8" t="e">
        <f>#REF!</f>
        <v>#REF!</v>
      </c>
      <c r="E39" s="8" t="e">
        <f>#REF!</f>
        <v>#REF!</v>
      </c>
      <c r="F39" s="8" t="e">
        <f>#REF!</f>
        <v>#REF!</v>
      </c>
    </row>
    <row r="40" spans="1:6">
      <c r="A40" s="14" t="s">
        <v>70</v>
      </c>
      <c r="B40" s="8" t="e">
        <f>#REF!</f>
        <v>#REF!</v>
      </c>
      <c r="C40" s="8" t="e">
        <f>#REF!</f>
        <v>#REF!</v>
      </c>
      <c r="D40" s="8" t="e">
        <f>#REF!</f>
        <v>#REF!</v>
      </c>
      <c r="E40" s="8" t="e">
        <f>#REF!</f>
        <v>#REF!</v>
      </c>
      <c r="F40" s="8" t="e">
        <f>#REF!</f>
        <v>#REF!</v>
      </c>
    </row>
    <row r="41" spans="1:6">
      <c r="A41" s="14" t="s">
        <v>71</v>
      </c>
      <c r="B41" s="26" t="e">
        <f>#REF!</f>
        <v>#REF!</v>
      </c>
      <c r="C41" s="26" t="e">
        <f>#REF!</f>
        <v>#REF!</v>
      </c>
      <c r="D41" s="26" t="e">
        <f>#REF!</f>
        <v>#REF!</v>
      </c>
      <c r="E41" s="26" t="e">
        <f>#REF!</f>
        <v>#REF!</v>
      </c>
      <c r="F41" s="26" t="e">
        <f>#REF!</f>
        <v>#REF!</v>
      </c>
    </row>
    <row r="42" spans="1:6">
      <c r="A42" s="14" t="s">
        <v>72</v>
      </c>
      <c r="B42" s="26" t="e">
        <f>#REF!</f>
        <v>#REF!</v>
      </c>
      <c r="C42" s="26" t="e">
        <f>#REF!</f>
        <v>#REF!</v>
      </c>
      <c r="D42" s="26" t="e">
        <f>#REF!</f>
        <v>#REF!</v>
      </c>
      <c r="E42" s="26" t="e">
        <f>#REF!</f>
        <v>#REF!</v>
      </c>
      <c r="F42" s="26" t="e">
        <f>#REF!</f>
        <v>#REF!</v>
      </c>
    </row>
    <row r="43" spans="1:6">
      <c r="A43" s="14" t="s">
        <v>73</v>
      </c>
      <c r="B43" s="30" t="e">
        <f>#REF!</f>
        <v>#REF!</v>
      </c>
      <c r="C43" s="30" t="e">
        <f>#REF!</f>
        <v>#REF!</v>
      </c>
      <c r="D43" s="30" t="e">
        <f>#REF!</f>
        <v>#REF!</v>
      </c>
      <c r="E43" s="30" t="e">
        <f>#REF!</f>
        <v>#REF!</v>
      </c>
      <c r="F43" s="30" t="e">
        <f>#REF!</f>
        <v>#REF!</v>
      </c>
    </row>
    <row r="44" spans="1:6">
      <c r="A44" s="14" t="s">
        <v>74</v>
      </c>
      <c r="B44" s="31" t="e">
        <f>#REF!</f>
        <v>#REF!</v>
      </c>
      <c r="C44" s="31" t="e">
        <f>#REF!</f>
        <v>#REF!</v>
      </c>
      <c r="D44" s="31" t="e">
        <f>#REF!</f>
        <v>#REF!</v>
      </c>
      <c r="E44" s="31" t="e">
        <f>#REF!</f>
        <v>#REF!</v>
      </c>
      <c r="F44" s="31" t="e">
        <f>#REF!</f>
        <v>#REF!</v>
      </c>
    </row>
    <row r="45" spans="1:6">
      <c r="A45" s="14" t="s">
        <v>31</v>
      </c>
      <c r="B45" s="31" t="e">
        <f>#REF!</f>
        <v>#REF!</v>
      </c>
      <c r="C45" s="31" t="e">
        <f>#REF!</f>
        <v>#REF!</v>
      </c>
      <c r="D45" s="31" t="e">
        <f>#REF!</f>
        <v>#REF!</v>
      </c>
      <c r="E45" s="31" t="e">
        <f>#REF!</f>
        <v>#REF!</v>
      </c>
      <c r="F45" s="31" t="e">
        <f>#REF!</f>
        <v>#REF!</v>
      </c>
    </row>
    <row r="46" spans="1:6">
      <c r="A46" s="14" t="s">
        <v>75</v>
      </c>
      <c r="B46" s="32" t="e">
        <f>#REF!</f>
        <v>#REF!</v>
      </c>
      <c r="C46" s="32" t="e">
        <f>#REF!</f>
        <v>#REF!</v>
      </c>
      <c r="D46" s="32" t="e">
        <f>#REF!</f>
        <v>#REF!</v>
      </c>
      <c r="E46" s="32" t="e">
        <f>#REF!</f>
        <v>#REF!</v>
      </c>
      <c r="F46" s="32" t="e">
        <f>#REF!</f>
        <v>#REF!</v>
      </c>
    </row>
    <row r="47" spans="1:6">
      <c r="A47" s="14" t="s">
        <v>76</v>
      </c>
      <c r="B47" s="32" t="e">
        <f>#REF!</f>
        <v>#REF!</v>
      </c>
      <c r="C47" s="32" t="e">
        <f>#REF!</f>
        <v>#REF!</v>
      </c>
      <c r="D47" s="32" t="e">
        <f>#REF!</f>
        <v>#REF!</v>
      </c>
      <c r="E47" s="32" t="e">
        <f>#REF!</f>
        <v>#REF!</v>
      </c>
      <c r="F47" s="32" t="e">
        <f>#REF!</f>
        <v>#REF!</v>
      </c>
    </row>
    <row r="48" spans="1:6">
      <c r="A48" s="14" t="s">
        <v>32</v>
      </c>
      <c r="B48" s="33" t="e">
        <f>#REF!</f>
        <v>#REF!</v>
      </c>
      <c r="C48" s="33" t="e">
        <f>#REF!</f>
        <v>#REF!</v>
      </c>
      <c r="D48" s="33" t="e">
        <f>#REF!</f>
        <v>#REF!</v>
      </c>
      <c r="E48" s="33" t="e">
        <f>#REF!</f>
        <v>#REF!</v>
      </c>
      <c r="F48" s="33" t="e">
        <f>#REF!</f>
        <v>#REF!</v>
      </c>
    </row>
    <row r="49" spans="1:6">
      <c r="A49" s="14" t="s">
        <v>77</v>
      </c>
      <c r="B49" s="34" t="e">
        <f>#REF!</f>
        <v>#REF!</v>
      </c>
      <c r="C49" s="34" t="e">
        <f>#REF!</f>
        <v>#REF!</v>
      </c>
      <c r="D49" s="34" t="e">
        <f>#REF!</f>
        <v>#REF!</v>
      </c>
      <c r="E49" s="34" t="e">
        <f>#REF!</f>
        <v>#REF!</v>
      </c>
      <c r="F49" s="34" t="e">
        <f>#REF!</f>
        <v>#REF!</v>
      </c>
    </row>
    <row r="50" spans="1:6">
      <c r="A50" s="14" t="s">
        <v>78</v>
      </c>
      <c r="B50" s="34" t="e">
        <f>#REF!</f>
        <v>#REF!</v>
      </c>
      <c r="C50" s="34" t="e">
        <f>#REF!</f>
        <v>#REF!</v>
      </c>
      <c r="D50" s="34" t="e">
        <f>#REF!</f>
        <v>#REF!</v>
      </c>
      <c r="E50" s="34" t="e">
        <f>#REF!</f>
        <v>#REF!</v>
      </c>
      <c r="F50" s="34" t="e">
        <f>#REF!</f>
        <v>#REF!</v>
      </c>
    </row>
    <row r="51" spans="1:6">
      <c r="A51" s="14" t="s">
        <v>79</v>
      </c>
      <c r="B51" s="34" t="e">
        <f>#REF!</f>
        <v>#REF!</v>
      </c>
      <c r="C51" s="34" t="e">
        <f>#REF!</f>
        <v>#REF!</v>
      </c>
      <c r="D51" s="34" t="e">
        <f>#REF!</f>
        <v>#REF!</v>
      </c>
      <c r="E51" s="34" t="e">
        <f>#REF!</f>
        <v>#REF!</v>
      </c>
      <c r="F51" s="34" t="e">
        <f>#REF!</f>
        <v>#REF!</v>
      </c>
    </row>
    <row r="52" spans="1:6" ht="15" thickBot="1">
      <c r="A52" s="24" t="s">
        <v>80</v>
      </c>
      <c r="B52" s="35" t="e">
        <f>#REF!</f>
        <v>#REF!</v>
      </c>
      <c r="C52" s="35" t="e">
        <f>#REF!</f>
        <v>#REF!</v>
      </c>
      <c r="D52" s="35" t="e">
        <f>#REF!</f>
        <v>#REF!</v>
      </c>
      <c r="E52" s="35" t="e">
        <f>#REF!</f>
        <v>#REF!</v>
      </c>
      <c r="F52" s="35" t="e">
        <f>#REF!</f>
        <v>#REF!</v>
      </c>
    </row>
  </sheetData>
  <mergeCells count="7">
    <mergeCell ref="A37:F37"/>
    <mergeCell ref="A1:F1"/>
    <mergeCell ref="A3:F3"/>
    <mergeCell ref="A16:F16"/>
    <mergeCell ref="A23:F23"/>
    <mergeCell ref="E29:F30"/>
    <mergeCell ref="A31:F3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Consol Latest</vt:lpstr>
      <vt:lpstr>Sheet1</vt:lpstr>
      <vt:lpstr>'Consol Latest'!Print_Area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nimit vyas</cp:lastModifiedBy>
  <cp:lastPrinted>2026-01-08T07:14:39Z</cp:lastPrinted>
  <dcterms:created xsi:type="dcterms:W3CDTF">2017-09-19T08:05:47Z</dcterms:created>
  <dcterms:modified xsi:type="dcterms:W3CDTF">2026-06-07T13:09:21Z</dcterms:modified>
</cp:coreProperties>
</file>