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063137E-BBA9-4379-9D69-A7E490C3A0A8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3" i="1" l="1"/>
  <c r="G33" i="1"/>
  <c r="F33" i="1"/>
  <c r="D50" i="1"/>
  <c r="E50" i="1"/>
  <c r="F50" i="1"/>
  <c r="G50" i="1"/>
  <c r="C50" i="1"/>
  <c r="N12" i="1"/>
  <c r="C51" i="1"/>
  <c r="C11" i="1"/>
  <c r="C18" i="1" s="1"/>
  <c r="C20" i="1" s="1"/>
  <c r="C63" i="1"/>
  <c r="C62" i="1"/>
  <c r="C54" i="1"/>
  <c r="D11" i="1"/>
  <c r="F63" i="1"/>
  <c r="E63" i="1"/>
  <c r="L72" i="1" s="1"/>
  <c r="F62" i="1"/>
  <c r="E62" i="1"/>
  <c r="L12" i="1"/>
  <c r="L8" i="1"/>
  <c r="L14" i="1" s="1"/>
  <c r="L7" i="1"/>
  <c r="M53" i="1"/>
  <c r="M38" i="1"/>
  <c r="M12" i="1"/>
  <c r="M8" i="1"/>
  <c r="M14" i="1" s="1"/>
  <c r="M7" i="1"/>
  <c r="G63" i="1"/>
  <c r="D63" i="1"/>
  <c r="L68" i="1"/>
  <c r="M68" i="1"/>
  <c r="K68" i="1"/>
  <c r="E41" i="1"/>
  <c r="E11" i="1"/>
  <c r="E12" i="1" s="1"/>
  <c r="E6" i="1"/>
  <c r="F11" i="1"/>
  <c r="F12" i="1" s="1"/>
  <c r="F7" i="1"/>
  <c r="F6" i="1"/>
  <c r="D13" i="1" l="1"/>
  <c r="M55" i="1"/>
  <c r="L71" i="1"/>
  <c r="M72" i="1"/>
  <c r="M71" i="1"/>
  <c r="D12" i="1"/>
  <c r="C12" i="1"/>
  <c r="F18" i="1"/>
  <c r="M73" i="1" s="1"/>
  <c r="F13" i="1"/>
  <c r="G59" i="1"/>
  <c r="G61" i="1" s="1"/>
  <c r="F59" i="1"/>
  <c r="F61" i="1" s="1"/>
  <c r="F64" i="1" s="1"/>
  <c r="M67" i="1" s="1"/>
  <c r="E59" i="1"/>
  <c r="E61" i="1" s="1"/>
  <c r="E64" i="1" s="1"/>
  <c r="D59" i="1"/>
  <c r="C59" i="1"/>
  <c r="G62" i="1"/>
  <c r="N65" i="1"/>
  <c r="G54" i="1"/>
  <c r="G56" i="1" s="1"/>
  <c r="N53" i="1"/>
  <c r="N45" i="1"/>
  <c r="N38" i="1"/>
  <c r="N26" i="1"/>
  <c r="N8" i="1"/>
  <c r="N14" i="1" s="1"/>
  <c r="N7" i="1"/>
  <c r="G34" i="1"/>
  <c r="G25" i="1"/>
  <c r="G11" i="1"/>
  <c r="G18" i="1" s="1"/>
  <c r="N73" i="1" s="1"/>
  <c r="K12" i="1"/>
  <c r="E13" i="1"/>
  <c r="F14" i="1"/>
  <c r="K74" i="1"/>
  <c r="L74" i="1"/>
  <c r="M74" i="1"/>
  <c r="J74" i="1"/>
  <c r="L38" i="1"/>
  <c r="D62" i="1"/>
  <c r="F42" i="1"/>
  <c r="D6" i="1"/>
  <c r="L64" i="1" l="1"/>
  <c r="N72" i="1"/>
  <c r="N71" i="1"/>
  <c r="N64" i="1"/>
  <c r="N66" i="1" s="1"/>
  <c r="M64" i="1"/>
  <c r="N57" i="1"/>
  <c r="G64" i="1"/>
  <c r="N58" i="1"/>
  <c r="N59" i="1" s="1"/>
  <c r="G20" i="1"/>
  <c r="G27" i="1" s="1"/>
  <c r="G12" i="1"/>
  <c r="N55" i="1"/>
  <c r="J12" i="1"/>
  <c r="M70" i="1"/>
  <c r="E18" i="1"/>
  <c r="L73" i="1" s="1"/>
  <c r="G29" i="1" l="1"/>
  <c r="G26" i="1"/>
  <c r="G35" i="1" l="1"/>
  <c r="G30" i="1"/>
  <c r="D61" i="1"/>
  <c r="C61" i="1"/>
  <c r="K53" i="1"/>
  <c r="L53" i="1"/>
  <c r="J53" i="1"/>
  <c r="F34" i="1" l="1"/>
  <c r="E34" i="1"/>
  <c r="D25" i="1"/>
  <c r="F25" i="1"/>
  <c r="E25" i="1"/>
  <c r="D34" i="1" l="1"/>
  <c r="C34" i="1"/>
  <c r="C25" i="1"/>
  <c r="D41" i="1"/>
  <c r="F41" i="1"/>
  <c r="D51" i="1"/>
  <c r="E45" i="1" s="1"/>
  <c r="E51" i="1" s="1"/>
  <c r="F45" i="1" s="1"/>
  <c r="F51" i="1" s="1"/>
  <c r="G45" i="1" s="1"/>
  <c r="G51" i="1" s="1"/>
  <c r="C56" i="1"/>
  <c r="D54" i="1"/>
  <c r="E54" i="1"/>
  <c r="E56" i="1" s="1"/>
  <c r="F54" i="1"/>
  <c r="F56" i="1" s="1"/>
  <c r="L67" i="1"/>
  <c r="C64" i="1"/>
  <c r="D64" i="1"/>
  <c r="K67" i="1" s="1"/>
  <c r="F20" i="1" l="1"/>
  <c r="D18" i="1"/>
  <c r="D56" i="1"/>
  <c r="E20" i="1"/>
  <c r="E27" i="1" s="1"/>
  <c r="M63" i="1"/>
  <c r="M65" i="1" s="1"/>
  <c r="L63" i="1"/>
  <c r="K63" i="1"/>
  <c r="K65" i="1" s="1"/>
  <c r="C27" i="1" l="1"/>
  <c r="C29" i="1" s="1"/>
  <c r="J73" i="1"/>
  <c r="D20" i="1"/>
  <c r="D27" i="1" s="1"/>
  <c r="D29" i="1" s="1"/>
  <c r="K73" i="1"/>
  <c r="F27" i="1"/>
  <c r="F31" i="1" s="1"/>
  <c r="F26" i="1"/>
  <c r="E31" i="1"/>
  <c r="E29" i="1"/>
  <c r="E30" i="1" s="1"/>
  <c r="C26" i="1"/>
  <c r="D26" i="1"/>
  <c r="E26" i="1"/>
  <c r="L65" i="1"/>
  <c r="M45" i="1"/>
  <c r="M26" i="1"/>
  <c r="M66" i="1"/>
  <c r="D35" i="1" l="1"/>
  <c r="D30" i="1"/>
  <c r="D31" i="1"/>
  <c r="F29" i="1"/>
  <c r="F35" i="1" s="1"/>
  <c r="F32" i="1"/>
  <c r="E35" i="1"/>
  <c r="M69" i="1"/>
  <c r="M58" i="1"/>
  <c r="M59" i="1" s="1"/>
  <c r="M57" i="1"/>
  <c r="E36" i="1" l="1"/>
  <c r="C35" i="1"/>
  <c r="D36" i="1" s="1"/>
  <c r="C30" i="1"/>
  <c r="F30" i="1"/>
  <c r="F37" i="1" l="1"/>
  <c r="F36" i="1"/>
  <c r="J7" i="1"/>
  <c r="K7" i="1"/>
  <c r="L45" i="1"/>
  <c r="L58" i="1" s="1"/>
  <c r="L26" i="1"/>
  <c r="L66" i="1"/>
  <c r="J63" i="1"/>
  <c r="J65" i="1" s="1"/>
  <c r="L57" i="1" l="1"/>
  <c r="L59" i="1"/>
  <c r="L70" i="1"/>
  <c r="L55" i="1"/>
  <c r="K26" i="1"/>
  <c r="J45" i="1"/>
  <c r="J58" i="1" s="1"/>
  <c r="K38" i="1"/>
  <c r="J38" i="1"/>
  <c r="J26" i="1"/>
  <c r="K8" i="1"/>
  <c r="J8" i="1"/>
  <c r="J64" i="1" l="1"/>
  <c r="J72" i="1"/>
  <c r="J71" i="1"/>
  <c r="J69" i="1"/>
  <c r="K69" i="1"/>
  <c r="K72" i="1"/>
  <c r="K64" i="1"/>
  <c r="K66" i="1" s="1"/>
  <c r="K71" i="1"/>
  <c r="J66" i="1"/>
  <c r="J14" i="1"/>
  <c r="J70" i="1" s="1"/>
  <c r="J59" i="1"/>
  <c r="K14" i="1"/>
  <c r="K70" i="1" s="1"/>
  <c r="J57" i="1"/>
  <c r="J55" i="1"/>
  <c r="K57" i="1"/>
  <c r="K55" i="1"/>
  <c r="K45" i="1"/>
  <c r="L69" i="1" l="1"/>
  <c r="K58" i="1"/>
  <c r="K59" i="1" s="1"/>
</calcChain>
</file>

<file path=xl/sharedStrings.xml><?xml version="1.0" encoding="utf-8"?>
<sst xmlns="http://schemas.openxmlformats.org/spreadsheetml/2006/main" count="177" uniqueCount="128">
  <si>
    <t>March Year Ended (INR Mn)</t>
  </si>
  <si>
    <t>FY22</t>
  </si>
  <si>
    <t>FY23</t>
  </si>
  <si>
    <t>Share Capital</t>
  </si>
  <si>
    <t>Long Term Debt</t>
  </si>
  <si>
    <t>Short Term Debt</t>
  </si>
  <si>
    <t>Capital Employed</t>
  </si>
  <si>
    <t>Other Equity</t>
  </si>
  <si>
    <t>Total Equity</t>
  </si>
  <si>
    <t xml:space="preserve">Networth/Shareholder's Fund/Book value </t>
  </si>
  <si>
    <t>Minority Interest/Non Controlling Interest</t>
  </si>
  <si>
    <t>Total Loans</t>
  </si>
  <si>
    <t xml:space="preserve">a) Property Plant &amp; Equipment </t>
  </si>
  <si>
    <t>d) Other Intangible Assets</t>
  </si>
  <si>
    <t>Total Non Current Assets</t>
  </si>
  <si>
    <t>Current Assets:</t>
  </si>
  <si>
    <t>Non-Current Assets:</t>
  </si>
  <si>
    <t xml:space="preserve">a) Inventories </t>
  </si>
  <si>
    <t>b) Financial Assets</t>
  </si>
  <si>
    <t>ii) Trade Recievables</t>
  </si>
  <si>
    <t xml:space="preserve">iii)Cash &amp; Cash Equivalents </t>
  </si>
  <si>
    <t xml:space="preserve">iv)Bank Balances other than (iii) above </t>
  </si>
  <si>
    <t>v) Loans</t>
  </si>
  <si>
    <t>vi)Other Financial Assets</t>
  </si>
  <si>
    <t>c) Other Current Assets</t>
  </si>
  <si>
    <t xml:space="preserve">Total Current Assets </t>
  </si>
  <si>
    <t>Non-Current Liabilities:</t>
  </si>
  <si>
    <t xml:space="preserve">a) Financial Liabilities </t>
  </si>
  <si>
    <t xml:space="preserve">i)  Borrowings </t>
  </si>
  <si>
    <t>c) Deferred Tax Liabilities (Net)</t>
  </si>
  <si>
    <t xml:space="preserve">Total Non-current Liabilities </t>
  </si>
  <si>
    <t>Current Liabilities:</t>
  </si>
  <si>
    <t xml:space="preserve">b) Other Current Liabilities </t>
  </si>
  <si>
    <t>c) Provisions</t>
  </si>
  <si>
    <t xml:space="preserve">Total Current Liabilities </t>
  </si>
  <si>
    <t xml:space="preserve">Net Current Assets </t>
  </si>
  <si>
    <t xml:space="preserve">Total Assets </t>
  </si>
  <si>
    <t xml:space="preserve">Total Liabilities  </t>
  </si>
  <si>
    <t>Total Liabilities &amp; Equity</t>
  </si>
  <si>
    <t>Consolidated Balance Sheet</t>
  </si>
  <si>
    <t xml:space="preserve">Consolidated Income Statement </t>
  </si>
  <si>
    <t xml:space="preserve">Revenue from Operations </t>
  </si>
  <si>
    <t>Growth (%)</t>
  </si>
  <si>
    <t xml:space="preserve">CAGR % - 3 Years </t>
  </si>
  <si>
    <t>Other Expenses</t>
  </si>
  <si>
    <t>EBITDA</t>
  </si>
  <si>
    <t>EBITDA margin (%)</t>
  </si>
  <si>
    <t>CAGR (%) - 3 Years</t>
  </si>
  <si>
    <t>Other Income</t>
  </si>
  <si>
    <t>Depreciation</t>
  </si>
  <si>
    <t>Finance Cost</t>
  </si>
  <si>
    <t>PBT</t>
  </si>
  <si>
    <t>Tax Expense</t>
  </si>
  <si>
    <t>a) Current</t>
  </si>
  <si>
    <t>Effective tax rate (%)</t>
  </si>
  <si>
    <t>Total Taxes</t>
  </si>
  <si>
    <t>PAT margin (%)</t>
  </si>
  <si>
    <t>Other Comprehensive Income:</t>
  </si>
  <si>
    <t xml:space="preserve">Total Other Comprehensive Income </t>
  </si>
  <si>
    <t>Total Comprehensive Income for the Year</t>
  </si>
  <si>
    <t>Basic EPS</t>
  </si>
  <si>
    <t xml:space="preserve">Diluted EPS </t>
  </si>
  <si>
    <t>Earning Per Share:</t>
  </si>
  <si>
    <t>Cash Flow From Operating Activities</t>
  </si>
  <si>
    <t>Cash Flow from Investing Activities</t>
  </si>
  <si>
    <t>Cash Flow From Financing Activities</t>
  </si>
  <si>
    <t>Cash and Cash Equivalents at End of the year</t>
  </si>
  <si>
    <t>Cash and Cash Equivalents at Beginning of the year:</t>
  </si>
  <si>
    <t xml:space="preserve">Operating Cash Inflow </t>
  </si>
  <si>
    <t>Capital Expenditure</t>
  </si>
  <si>
    <t>FCFF</t>
  </si>
  <si>
    <t>Free Cash Flow (INR MN)</t>
  </si>
  <si>
    <t>CASH FLOW STATEMENT (INR Mn)</t>
  </si>
  <si>
    <t>Total Debt</t>
  </si>
  <si>
    <t>Cash &amp; cash equivalent and other bank balance</t>
  </si>
  <si>
    <t>Enterprise Value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</si>
  <si>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</si>
  <si>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</si>
  <si>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</si>
  <si>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</si>
  <si>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</si>
  <si>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</si>
  <si>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</si>
  <si>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Debtor Days</t>
  </si>
  <si>
    <t>Interest Coverage</t>
  </si>
  <si>
    <t>BVPS (₹)</t>
  </si>
  <si>
    <t>EPS (₹)</t>
  </si>
  <si>
    <t>Ratios</t>
  </si>
  <si>
    <t xml:space="preserve">PBT Before Exceptional Items &amp; Tax </t>
  </si>
  <si>
    <t xml:space="preserve">Exceptional Items </t>
  </si>
  <si>
    <t>FY24</t>
  </si>
  <si>
    <t>ii) Loan</t>
  </si>
  <si>
    <t>iii) Other Financial Assets</t>
  </si>
  <si>
    <t>No. of Shares</t>
  </si>
  <si>
    <t>Face Value per share</t>
  </si>
  <si>
    <t>Market Cap</t>
  </si>
  <si>
    <t xml:space="preserve">  </t>
  </si>
  <si>
    <t>-</t>
  </si>
  <si>
    <t>FY25</t>
  </si>
  <si>
    <t>Operating Cost</t>
  </si>
  <si>
    <t>Employee Benefits Expense</t>
  </si>
  <si>
    <t>b) Deferred</t>
  </si>
  <si>
    <t>c) Excess</t>
  </si>
  <si>
    <t>Net Change in Cash and Cash Equivalent</t>
  </si>
  <si>
    <t xml:space="preserve">i) Non-current Investments </t>
  </si>
  <si>
    <t>e) Financial Assets:</t>
  </si>
  <si>
    <t>g) Other Non Current Assets</t>
  </si>
  <si>
    <t xml:space="preserve">i)  Current Investments </t>
  </si>
  <si>
    <t>ii) Trade Payables</t>
  </si>
  <si>
    <t>iii) Other Financial Liabilities</t>
  </si>
  <si>
    <t>H1-FY26</t>
  </si>
  <si>
    <t>Net Profit for the Year (Before Minority Interest)</t>
  </si>
  <si>
    <t>Minority's share of interest</t>
  </si>
  <si>
    <t>Net Profit for the Year (After Minority Interest)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</si>
  <si>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</si>
  <si>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ii) Long Term Provisions </t>
  </si>
  <si>
    <t xml:space="preserve">iii) Other Financial Liabilities </t>
  </si>
  <si>
    <t>b) Deferred Tax Assets (Net)</t>
  </si>
  <si>
    <t>c) Long-Term Loans &amp; Advances</t>
  </si>
  <si>
    <t>CMP (As per Stock Price at NSE) (₹)</t>
  </si>
  <si>
    <t>N.A.</t>
  </si>
  <si>
    <t>NA</t>
  </si>
  <si>
    <t>Paticulars (INR Mn)</t>
  </si>
  <si>
    <t>Fixed Asset Tunover (x)</t>
  </si>
  <si>
    <t>Basilic Fly Studio Ltd</t>
  </si>
  <si>
    <t>Effect of Exchange Difference</t>
  </si>
  <si>
    <t>9M-FY26</t>
  </si>
  <si>
    <t>TTM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</si>
</sst>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0.0%"/>
    <numFmt numFmtId="166" formatCode="_ * #,##0.0_ ;_ * \-#,##0.0_ ;_ * &quot;-&quot;??_ ;_ @_ 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i/>
      <sz val="11"/>
      <color theme="8" tint="-0.249977111117893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i/>
      <sz val="11"/>
      <color rgb="FF0070C0"/>
      <name val="Calibri"/>
      <family val="2"/>
    </font>
    <font>
      <i/>
      <sz val="11"/>
      <name val="Calibri"/>
      <family val="2"/>
    </font>
    <font>
      <b/>
      <i/>
      <sz val="11"/>
      <color theme="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9" fontId="0" fillId="0" borderId="0" xfId="2" applyFont="1" applyFill="1"/>
    <xf numFmtId="10" fontId="0" fillId="0" borderId="0" xfId="0" applyNumberFormat="1"/>
    <xf numFmtId="0" fontId="0" fillId="5" borderId="0" xfId="0" applyFill="1"/>
    <xf numFmtId="164" fontId="0" fillId="0" borderId="0" xfId="0" applyNumberFormat="1"/>
    <xf numFmtId="0" fontId="0" fillId="0" borderId="1" xfId="0" applyBorder="1"/>
    <xf numFmtId="0" fontId="2" fillId="3" borderId="1" xfId="0" applyFont="1" applyFill="1" applyBorder="1"/>
    <xf numFmtId="0" fontId="2" fillId="2" borderId="1" xfId="0" applyFont="1" applyFill="1" applyBorder="1"/>
    <xf numFmtId="0" fontId="4" fillId="6" borderId="1" xfId="0" applyFont="1" applyFill="1" applyBorder="1"/>
    <xf numFmtId="10" fontId="5" fillId="6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right"/>
    </xf>
    <xf numFmtId="0" fontId="7" fillId="6" borderId="1" xfId="0" applyFont="1" applyFill="1" applyBorder="1"/>
    <xf numFmtId="0" fontId="2" fillId="0" borderId="1" xfId="0" applyFont="1" applyBorder="1"/>
    <xf numFmtId="43" fontId="0" fillId="0" borderId="1" xfId="1" applyFont="1" applyFill="1" applyBorder="1" applyAlignment="1">
      <alignment horizontal="right"/>
    </xf>
    <xf numFmtId="43" fontId="6" fillId="0" borderId="1" xfId="1" applyFont="1" applyFill="1" applyBorder="1" applyAlignment="1">
      <alignment horizontal="right"/>
    </xf>
    <xf numFmtId="0" fontId="0" fillId="0" borderId="1" xfId="0" applyBorder="1" applyAlignment="1">
      <alignment horizontal="left" indent="1"/>
    </xf>
    <xf numFmtId="0" fontId="9" fillId="6" borderId="1" xfId="0" applyFont="1" applyFill="1" applyBorder="1"/>
    <xf numFmtId="0" fontId="2" fillId="2" borderId="1" xfId="0" applyFont="1" applyFill="1" applyBorder="1" applyAlignment="1">
      <alignment horizontal="left" vertical="center"/>
    </xf>
    <xf numFmtId="0" fontId="0" fillId="4" borderId="1" xfId="0" applyFill="1" applyBorder="1"/>
    <xf numFmtId="0" fontId="6" fillId="0" borderId="0" xfId="0" applyFont="1"/>
    <xf numFmtId="0" fontId="0" fillId="2" borderId="1" xfId="0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1" applyNumberFormat="1" applyFont="1" applyFill="1" applyBorder="1" applyAlignment="1">
      <alignment horizontal="right"/>
    </xf>
    <xf numFmtId="10" fontId="8" fillId="6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66" fontId="2" fillId="2" borderId="1" xfId="1" applyNumberFormat="1" applyFont="1" applyFill="1" applyBorder="1" applyAlignment="1">
      <alignment horizontal="right"/>
    </xf>
    <xf numFmtId="166" fontId="3" fillId="2" borderId="1" xfId="1" applyNumberFormat="1" applyFont="1" applyFill="1" applyBorder="1" applyAlignment="1">
      <alignment horizontal="right"/>
    </xf>
    <xf numFmtId="166" fontId="6" fillId="0" borderId="1" xfId="1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right" vertical="center"/>
    </xf>
    <xf numFmtId="166" fontId="6" fillId="0" borderId="1" xfId="1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66" fontId="9" fillId="6" borderId="1" xfId="1" applyNumberFormat="1" applyFont="1" applyFill="1" applyBorder="1" applyAlignment="1">
      <alignment horizontal="right"/>
    </xf>
    <xf numFmtId="9" fontId="2" fillId="3" borderId="1" xfId="2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166" fontId="10" fillId="0" borderId="1" xfId="1" applyNumberFormat="1" applyFont="1" applyBorder="1" applyAlignment="1">
      <alignment horizontal="right"/>
    </xf>
    <xf numFmtId="166" fontId="0" fillId="2" borderId="1" xfId="1" applyNumberFormat="1" applyFont="1" applyFill="1" applyBorder="1" applyAlignment="1">
      <alignment horizontal="right"/>
    </xf>
    <xf numFmtId="165" fontId="0" fillId="2" borderId="1" xfId="2" applyNumberFormat="1" applyFont="1" applyFill="1" applyBorder="1" applyAlignment="1">
      <alignment horizontal="right"/>
    </xf>
    <xf numFmtId="43" fontId="0" fillId="2" borderId="1" xfId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96"/>
  <sheetViews>
    <sheetView tabSelected="1" zoomScale="70" zoomScaleNormal="70" workbookViewId="0">
      <pane ySplit="4" topLeftCell="A5" activePane="bottomLeft" state="frozen"/>
      <selection pane="bottomLeft" activeCell="D17" sqref="D17"/>
    </sheetView>
  </sheetViews>
  <sheetFormatPr defaultColWidth="8.77734375" defaultRowHeight="14.4" x14ac:dyDescent="0.3"/>
  <cols>
    <col min="2" max="2" width="70.44140625" bestFit="1" customWidth="1"/>
    <col min="3" max="4" width="14.77734375" bestFit="1" customWidth="1"/>
    <col min="5" max="5" width="16.21875" bestFit="1" customWidth="1"/>
    <col min="6" max="6" width="14.77734375" bestFit="1" customWidth="1"/>
    <col min="7" max="7" width="14.44140625" customWidth="1"/>
    <col min="8" max="8" width="4.21875" customWidth="1"/>
    <col min="9" max="9" width="50.77734375" customWidth="1"/>
    <col min="10" max="10" width="14.77734375" bestFit="1" customWidth="1"/>
    <col min="11" max="11" width="13" bestFit="1" customWidth="1"/>
    <col min="12" max="13" width="14.77734375" bestFit="1" customWidth="1"/>
    <col min="14" max="14" width="12" bestFit="1" customWidth="1"/>
    <col min="15" max="15" width="43.44140625" bestFit="1" customWidth="1"/>
  </cols>
  <sheetData>
    <row r="2" spans="1:14" ht="19.5" customHeight="1" x14ac:dyDescent="0.3">
      <c r="B2" s="44" t="s">
        <v>124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4" ht="14.25" customHeight="1" x14ac:dyDescent="0.3">
      <c r="B3" s="43" t="s">
        <v>40</v>
      </c>
      <c r="C3" s="43"/>
      <c r="D3" s="43"/>
      <c r="E3" s="43"/>
      <c r="F3" s="43"/>
      <c r="G3" s="43"/>
      <c r="H3" s="5"/>
      <c r="I3" s="45" t="s">
        <v>39</v>
      </c>
      <c r="J3" s="46"/>
      <c r="K3" s="46"/>
      <c r="L3" s="46"/>
      <c r="M3" s="46"/>
      <c r="N3" s="47"/>
    </row>
    <row r="4" spans="1:14" x14ac:dyDescent="0.3">
      <c r="B4" s="8" t="s">
        <v>0</v>
      </c>
      <c r="C4" s="27" t="s">
        <v>1</v>
      </c>
      <c r="D4" s="27" t="s">
        <v>2</v>
      </c>
      <c r="E4" s="27" t="s">
        <v>90</v>
      </c>
      <c r="F4" s="27" t="s">
        <v>98</v>
      </c>
      <c r="G4" s="27" t="s">
        <v>126</v>
      </c>
      <c r="H4" s="5"/>
      <c r="I4" s="8" t="s">
        <v>0</v>
      </c>
      <c r="J4" s="27" t="s">
        <v>1</v>
      </c>
      <c r="K4" s="27" t="s">
        <v>2</v>
      </c>
      <c r="L4" s="27" t="s">
        <v>90</v>
      </c>
      <c r="M4" s="27" t="s">
        <v>98</v>
      </c>
      <c r="N4" s="27" t="s">
        <v>110</v>
      </c>
    </row>
    <row r="5" spans="1:14" x14ac:dyDescent="0.3">
      <c r="B5" s="9" t="s">
        <v>41</v>
      </c>
      <c r="C5" s="28">
        <v>251.584</v>
      </c>
      <c r="D5" s="28">
        <v>786.67399999999998</v>
      </c>
      <c r="E5" s="28">
        <v>1026.6969999999999</v>
      </c>
      <c r="F5" s="29">
        <v>3040.9</v>
      </c>
      <c r="G5" s="29">
        <v>2944.16</v>
      </c>
      <c r="H5" s="5"/>
      <c r="I5" s="7" t="s">
        <v>3</v>
      </c>
      <c r="J5" s="24">
        <v>10</v>
      </c>
      <c r="K5" s="24">
        <v>170</v>
      </c>
      <c r="L5" s="24">
        <v>232.4</v>
      </c>
      <c r="M5" s="24">
        <v>232.4</v>
      </c>
      <c r="N5" s="24">
        <v>252.7</v>
      </c>
    </row>
    <row r="6" spans="1:14" x14ac:dyDescent="0.3">
      <c r="B6" s="10" t="s">
        <v>42</v>
      </c>
      <c r="C6" s="11"/>
      <c r="D6" s="11" t="str">
        <f>IF(D5/C5-1&gt;100%,"N.A.",IF(D5/C5-1&lt;-100%,"N.A.",(D5/C5-1)))</f>
        <v>N.A.</v>
      </c>
      <c r="E6" s="11">
        <f>IF(E5/D5-1&gt;100%,"N.A.",IF(E5/D5-1&lt;-100%,"N.A.",(E5/D5-1)))</f>
        <v>0.30511113879446872</v>
      </c>
      <c r="F6" s="11" t="str">
        <f>IF(F5/E5-1&gt;100%,"N.A.",IF(F5/E5-1&lt;-100%,"N.A.",(F5/E5-1)))</f>
        <v>N.A.</v>
      </c>
      <c r="G6" s="11"/>
      <c r="H6" s="5"/>
      <c r="I6" s="7" t="s">
        <v>7</v>
      </c>
      <c r="J6" s="24">
        <v>29.416</v>
      </c>
      <c r="K6" s="24">
        <v>146.69999999999999</v>
      </c>
      <c r="L6" s="24">
        <v>998.98599999999999</v>
      </c>
      <c r="M6" s="24">
        <v>1790</v>
      </c>
      <c r="N6" s="24">
        <v>2840.6</v>
      </c>
    </row>
    <row r="7" spans="1:14" x14ac:dyDescent="0.3">
      <c r="B7" s="10" t="s">
        <v>43</v>
      </c>
      <c r="C7" s="11"/>
      <c r="D7" s="11"/>
      <c r="E7" s="11" t="s">
        <v>120</v>
      </c>
      <c r="F7" s="11" t="str">
        <f>IF((F5/C5)^(1/3)-1&lt;-100%,"N.A.",IF((F5/C5)^(1/3)-1&gt;100%,"N.A.",((F5/C5)^(1/3)-1)))</f>
        <v>N.A.</v>
      </c>
      <c r="G7" s="11"/>
      <c r="H7" s="5"/>
      <c r="I7" s="9" t="s">
        <v>8</v>
      </c>
      <c r="J7" s="28">
        <f t="shared" ref="J7:K7" si="0">SUM(J5:J6)+J9</f>
        <v>41.745999999999995</v>
      </c>
      <c r="K7" s="28">
        <f t="shared" si="0"/>
        <v>320.63900000000001</v>
      </c>
      <c r="L7" s="28">
        <f>SUM(L5:L6)+L9</f>
        <v>1235.4859999999999</v>
      </c>
      <c r="M7" s="28">
        <f>SUM(M5:M6)+M9</f>
        <v>2106.3000000000002</v>
      </c>
      <c r="N7" s="28">
        <f>SUM(N5:N6)+N9</f>
        <v>3206.3999999999996</v>
      </c>
    </row>
    <row r="8" spans="1:14" x14ac:dyDescent="0.3">
      <c r="B8" s="7" t="s">
        <v>99</v>
      </c>
      <c r="C8" s="24">
        <v>107.7</v>
      </c>
      <c r="D8" s="24">
        <v>217.518</v>
      </c>
      <c r="E8" s="24">
        <v>0</v>
      </c>
      <c r="F8" s="30">
        <v>0</v>
      </c>
      <c r="G8" s="30">
        <v>0</v>
      </c>
      <c r="H8" s="5"/>
      <c r="I8" s="9" t="s">
        <v>9</v>
      </c>
      <c r="J8" s="28">
        <f>SUM(J5:J6)</f>
        <v>39.415999999999997</v>
      </c>
      <c r="K8" s="28">
        <f>SUM(K5:K6)</f>
        <v>316.7</v>
      </c>
      <c r="L8" s="28">
        <f>SUM(L5:L6)</f>
        <v>1231.386</v>
      </c>
      <c r="M8" s="28">
        <f>SUM(M5:M6)</f>
        <v>2022.4</v>
      </c>
      <c r="N8" s="28">
        <f>SUM(N5:N6)</f>
        <v>3093.2999999999997</v>
      </c>
    </row>
    <row r="9" spans="1:14" x14ac:dyDescent="0.3">
      <c r="B9" s="7" t="s">
        <v>100</v>
      </c>
      <c r="C9" s="24">
        <v>124.93</v>
      </c>
      <c r="D9" s="24">
        <v>175.59200000000001</v>
      </c>
      <c r="E9" s="24">
        <v>294.52199999999999</v>
      </c>
      <c r="F9" s="30">
        <v>1902.21</v>
      </c>
      <c r="G9" s="30">
        <v>1944.51</v>
      </c>
      <c r="H9" s="5"/>
      <c r="I9" s="7" t="s">
        <v>10</v>
      </c>
      <c r="J9" s="32">
        <v>2.33</v>
      </c>
      <c r="K9" s="32">
        <v>3.9390000000000001</v>
      </c>
      <c r="L9" s="32">
        <v>4.0999999999999996</v>
      </c>
      <c r="M9" s="32">
        <v>83.9</v>
      </c>
      <c r="N9" s="32">
        <v>113.1</v>
      </c>
    </row>
    <row r="10" spans="1:14" x14ac:dyDescent="0.3">
      <c r="B10" s="12" t="s">
        <v>44</v>
      </c>
      <c r="C10" s="24">
        <v>3.262</v>
      </c>
      <c r="D10" s="24">
        <v>9.4290000000000003</v>
      </c>
      <c r="E10" s="24">
        <v>241.5</v>
      </c>
      <c r="F10" s="30">
        <v>424.32</v>
      </c>
      <c r="G10" s="30">
        <v>412.69</v>
      </c>
      <c r="H10" s="5"/>
      <c r="I10" s="7" t="s">
        <v>4</v>
      </c>
      <c r="J10" s="24">
        <v>30.905000000000001</v>
      </c>
      <c r="K10" s="24">
        <v>25.257999999999999</v>
      </c>
      <c r="L10" s="24">
        <v>5.601</v>
      </c>
      <c r="M10" s="24">
        <v>357</v>
      </c>
      <c r="N10" s="24">
        <v>315.2</v>
      </c>
    </row>
    <row r="11" spans="1:14" x14ac:dyDescent="0.3">
      <c r="B11" s="9" t="s">
        <v>45</v>
      </c>
      <c r="C11" s="28">
        <f>C5-SUM(C8:C10)</f>
        <v>15.692000000000007</v>
      </c>
      <c r="D11" s="28">
        <f>D5-SUM(D8:D10)</f>
        <v>384.13499999999999</v>
      </c>
      <c r="E11" s="28">
        <f>E5-SUM(E8:E10)</f>
        <v>490.67499999999995</v>
      </c>
      <c r="F11" s="29">
        <f>F5-SUM(F8:F10)</f>
        <v>714.36999999999989</v>
      </c>
      <c r="G11" s="29">
        <f>G5-SUM(G8:G10)</f>
        <v>586.96</v>
      </c>
      <c r="H11" s="5"/>
      <c r="I11" s="7" t="s">
        <v>5</v>
      </c>
      <c r="J11" s="24">
        <v>10.417999999999999</v>
      </c>
      <c r="K11" s="24">
        <v>17.45</v>
      </c>
      <c r="L11" s="24">
        <v>18.638999999999999</v>
      </c>
      <c r="M11" s="24">
        <v>155.19999999999999</v>
      </c>
      <c r="N11" s="24">
        <v>347.4</v>
      </c>
    </row>
    <row r="12" spans="1:14" x14ac:dyDescent="0.3">
      <c r="B12" s="14" t="s">
        <v>46</v>
      </c>
      <c r="C12" s="11">
        <f>IF(C11/C5&gt;100%,"N.A",IF(C11/C5&lt;-100%,"N.A.",(C11/C5)))</f>
        <v>6.2372805901806182E-2</v>
      </c>
      <c r="D12" s="11">
        <f>IF(D11/D5&gt;100%,"N.A",IF(D11/D5&lt;-100%,"N.A.",(D11/D5)))</f>
        <v>0.48830265141596135</v>
      </c>
      <c r="E12" s="11">
        <f>IF(E11/E5&gt;100%,"N.A",IF(E11/E5&lt;-100%,"N.A.",(E11/E5)))</f>
        <v>0.47791607455753743</v>
      </c>
      <c r="F12" s="11">
        <f>IF(F11/F5&gt;100%,"N.A",IF(F11/F5&lt;-100%,"N.A.",(F11/F5)))</f>
        <v>0.23492058272222036</v>
      </c>
      <c r="G12" s="11">
        <f>IF(G11/G5&gt;100%,"N.A",IF(G11/G5&lt;-100%,"N.A.",(G11/G5)))</f>
        <v>0.19936416499103313</v>
      </c>
      <c r="H12" s="5"/>
      <c r="I12" s="9" t="s">
        <v>11</v>
      </c>
      <c r="J12" s="28">
        <f>J10+J11</f>
        <v>41.323</v>
      </c>
      <c r="K12" s="28">
        <f t="shared" ref="K12" si="1">K10+K11</f>
        <v>42.707999999999998</v>
      </c>
      <c r="L12" s="28">
        <f>L10+L11</f>
        <v>24.24</v>
      </c>
      <c r="M12" s="28">
        <f>M10+M11</f>
        <v>512.20000000000005</v>
      </c>
      <c r="N12" s="28">
        <f>N10+N11</f>
        <v>662.59999999999991</v>
      </c>
    </row>
    <row r="13" spans="1:14" x14ac:dyDescent="0.3">
      <c r="A13" s="4"/>
      <c r="B13" s="14" t="s">
        <v>42</v>
      </c>
      <c r="C13" s="11"/>
      <c r="D13" s="11" t="str">
        <f>IF(D11/C11-1&gt;100%,("N.A."),IF(D11/C11-1&lt;-100%,("N.A."),(D11/C11-1)))</f>
        <v>N.A.</v>
      </c>
      <c r="E13" s="11">
        <f>IF(E11/D11-1&gt;100%,("N.A."),IF(E11/D11-1&lt;-100%,("N.A."),(E11/D11-1)))</f>
        <v>0.27735041066291788</v>
      </c>
      <c r="F13" s="11">
        <f>IF(F11/E11-1&gt;100%,("N.A."),IF(F11/E11-1&lt;-100%,("N.A."),(F11/E11-1)))</f>
        <v>0.4558923931319101</v>
      </c>
      <c r="G13" s="11"/>
      <c r="H13" s="5"/>
      <c r="I13" s="7"/>
      <c r="J13" s="24"/>
      <c r="K13" s="24"/>
      <c r="L13" s="24"/>
      <c r="M13" s="24"/>
      <c r="N13" s="24"/>
    </row>
    <row r="14" spans="1:14" x14ac:dyDescent="0.3">
      <c r="B14" s="14" t="s">
        <v>47</v>
      </c>
      <c r="C14" s="11"/>
      <c r="D14" s="11"/>
      <c r="E14" s="11" t="s">
        <v>120</v>
      </c>
      <c r="F14" s="11" t="str">
        <f>IF((F11/C11)^(1/3)-1&lt;-100%,"N.A.",IF((F11/C11)^(1/3)-1&gt;100%,"N.A.",((F11/C11)^(1/3)-1)))</f>
        <v>N.A.</v>
      </c>
      <c r="G14" s="11"/>
      <c r="H14" s="5"/>
      <c r="I14" s="9" t="s">
        <v>6</v>
      </c>
      <c r="J14" s="28">
        <f>J8+J12</f>
        <v>80.739000000000004</v>
      </c>
      <c r="K14" s="28">
        <f>K8+K12</f>
        <v>359.40800000000002</v>
      </c>
      <c r="L14" s="28">
        <f>L8+L12</f>
        <v>1255.626</v>
      </c>
      <c r="M14" s="28">
        <f>M8+M12</f>
        <v>2534.6000000000004</v>
      </c>
      <c r="N14" s="28">
        <f>N8+N12</f>
        <v>3755.8999999999996</v>
      </c>
    </row>
    <row r="15" spans="1:14" x14ac:dyDescent="0.3">
      <c r="B15" s="7" t="s">
        <v>48</v>
      </c>
      <c r="C15" s="24">
        <v>1.294</v>
      </c>
      <c r="D15" s="24">
        <v>4.266</v>
      </c>
      <c r="E15" s="24">
        <v>31.2</v>
      </c>
      <c r="F15" s="30">
        <v>20.85</v>
      </c>
      <c r="G15" s="30">
        <v>40.79</v>
      </c>
      <c r="H15" s="5"/>
      <c r="I15" s="7"/>
      <c r="J15" s="24"/>
      <c r="K15" s="24"/>
      <c r="L15" s="24"/>
      <c r="M15" s="24"/>
      <c r="N15" s="24"/>
    </row>
    <row r="16" spans="1:14" x14ac:dyDescent="0.3">
      <c r="B16" s="7" t="s">
        <v>49</v>
      </c>
      <c r="C16" s="24">
        <v>2.83</v>
      </c>
      <c r="D16" s="24">
        <v>5.6029999999999998</v>
      </c>
      <c r="E16" s="24">
        <v>10.5</v>
      </c>
      <c r="F16" s="30">
        <v>122.08</v>
      </c>
      <c r="G16" s="30">
        <v>109.7</v>
      </c>
      <c r="H16" s="5"/>
      <c r="I16" s="15" t="s">
        <v>16</v>
      </c>
      <c r="J16" s="24"/>
      <c r="K16" s="24"/>
      <c r="L16" s="24"/>
      <c r="M16" s="24"/>
      <c r="N16" s="24"/>
    </row>
    <row r="17" spans="2:14" x14ac:dyDescent="0.3">
      <c r="B17" s="7" t="s">
        <v>50</v>
      </c>
      <c r="C17" s="24">
        <v>0.85</v>
      </c>
      <c r="D17" s="24">
        <v>7.7670000000000003</v>
      </c>
      <c r="E17" s="24">
        <v>5.2</v>
      </c>
      <c r="F17" s="30">
        <v>62.61</v>
      </c>
      <c r="G17" s="30">
        <v>62.52</v>
      </c>
      <c r="H17" s="5"/>
      <c r="I17" s="7" t="s">
        <v>12</v>
      </c>
      <c r="J17" s="24">
        <v>11.196999999999999</v>
      </c>
      <c r="K17" s="24">
        <v>23.158999999999999</v>
      </c>
      <c r="L17" s="24">
        <v>19.196000000000002</v>
      </c>
      <c r="M17" s="24">
        <v>178.8</v>
      </c>
      <c r="N17" s="24">
        <v>216.7</v>
      </c>
    </row>
    <row r="18" spans="2:14" x14ac:dyDescent="0.3">
      <c r="B18" s="9" t="s">
        <v>88</v>
      </c>
      <c r="C18" s="28">
        <f>C11+C15-SUM(C16:C17)</f>
        <v>13.306000000000008</v>
      </c>
      <c r="D18" s="28">
        <f>D11+D15-SUM(D16:D17)</f>
        <v>375.03100000000001</v>
      </c>
      <c r="E18" s="28">
        <f>E11+E15-SUM(E16:E17)</f>
        <v>506.17500000000001</v>
      </c>
      <c r="F18" s="29">
        <f>F11+F15-SUM(F16:F17)</f>
        <v>550.53</v>
      </c>
      <c r="G18" s="29">
        <f>G11+G15-SUM(G16:G17)</f>
        <v>455.53</v>
      </c>
      <c r="H18" s="5"/>
      <c r="I18" s="7" t="s">
        <v>117</v>
      </c>
      <c r="J18" s="24">
        <v>0.45300000000000001</v>
      </c>
      <c r="K18" s="24">
        <v>3.14</v>
      </c>
      <c r="L18" s="24">
        <v>6.399</v>
      </c>
      <c r="M18" s="24">
        <v>9.1</v>
      </c>
      <c r="N18" s="24">
        <v>6.4</v>
      </c>
    </row>
    <row r="19" spans="2:14" x14ac:dyDescent="0.3">
      <c r="B19" s="7" t="s">
        <v>89</v>
      </c>
      <c r="C19" s="24">
        <v>0</v>
      </c>
      <c r="D19" s="24">
        <v>0</v>
      </c>
      <c r="E19" s="24">
        <v>0</v>
      </c>
      <c r="F19" s="30">
        <v>-40.340000000000003</v>
      </c>
      <c r="G19" s="30">
        <v>0</v>
      </c>
      <c r="H19" s="5"/>
      <c r="I19" s="7" t="s">
        <v>118</v>
      </c>
      <c r="J19" s="24">
        <v>6.4939999999999998</v>
      </c>
      <c r="K19" s="24">
        <v>0</v>
      </c>
      <c r="L19" s="24">
        <v>0</v>
      </c>
      <c r="M19" s="24">
        <v>0</v>
      </c>
      <c r="N19" s="24">
        <v>0</v>
      </c>
    </row>
    <row r="20" spans="2:14" x14ac:dyDescent="0.3">
      <c r="B20" s="9" t="s">
        <v>51</v>
      </c>
      <c r="C20" s="28">
        <f>C18+C19</f>
        <v>13.306000000000008</v>
      </c>
      <c r="D20" s="28">
        <f>D18+D19</f>
        <v>375.03100000000001</v>
      </c>
      <c r="E20" s="28">
        <f>E18+E19</f>
        <v>506.17500000000001</v>
      </c>
      <c r="F20" s="28">
        <f>F18+F19</f>
        <v>510.18999999999994</v>
      </c>
      <c r="G20" s="28">
        <f>G18+G19</f>
        <v>455.53</v>
      </c>
      <c r="H20" s="5"/>
      <c r="I20" s="7" t="s">
        <v>13</v>
      </c>
      <c r="J20" s="24">
        <v>0</v>
      </c>
      <c r="K20" s="24">
        <v>0</v>
      </c>
      <c r="L20" s="24">
        <v>0</v>
      </c>
      <c r="M20" s="24">
        <v>770.3</v>
      </c>
      <c r="N20" s="24">
        <v>770.3</v>
      </c>
    </row>
    <row r="21" spans="2:14" x14ac:dyDescent="0.3">
      <c r="B21" s="7" t="s">
        <v>52</v>
      </c>
      <c r="C21" s="13"/>
      <c r="D21" s="13"/>
      <c r="E21" s="13"/>
      <c r="F21" s="31"/>
      <c r="G21" s="31"/>
      <c r="H21" s="5"/>
      <c r="I21" s="7" t="s">
        <v>105</v>
      </c>
      <c r="J21" s="24"/>
      <c r="K21" s="24"/>
      <c r="L21" s="24"/>
      <c r="M21" s="24"/>
      <c r="N21" s="24"/>
    </row>
    <row r="22" spans="2:14" x14ac:dyDescent="0.3">
      <c r="B22" s="7" t="s">
        <v>53</v>
      </c>
      <c r="C22" s="24">
        <v>3.7010000000000001</v>
      </c>
      <c r="D22" s="24">
        <v>98.706000000000003</v>
      </c>
      <c r="E22" s="24">
        <v>133.4</v>
      </c>
      <c r="F22" s="30">
        <v>64.069999999999993</v>
      </c>
      <c r="G22" s="30">
        <v>117.31</v>
      </c>
      <c r="H22" s="5"/>
      <c r="I22" s="7" t="s">
        <v>104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</row>
    <row r="23" spans="2:14" x14ac:dyDescent="0.3">
      <c r="B23" s="7" t="s">
        <v>101</v>
      </c>
      <c r="C23" s="24">
        <v>0.46800000000000003</v>
      </c>
      <c r="D23" s="24">
        <v>-2.6869999999999998</v>
      </c>
      <c r="E23" s="32">
        <v>-3.3</v>
      </c>
      <c r="F23" s="33">
        <v>-6.81</v>
      </c>
      <c r="G23" s="33">
        <v>-13.75</v>
      </c>
      <c r="H23" s="5"/>
      <c r="I23" s="7" t="s">
        <v>91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</row>
    <row r="24" spans="2:14" x14ac:dyDescent="0.3">
      <c r="B24" s="7" t="s">
        <v>102</v>
      </c>
      <c r="C24" s="24">
        <v>0</v>
      </c>
      <c r="D24" s="24" t="s">
        <v>97</v>
      </c>
      <c r="E24" s="24">
        <v>10.5</v>
      </c>
      <c r="F24" s="30">
        <v>6.73</v>
      </c>
      <c r="G24" s="30">
        <v>0</v>
      </c>
      <c r="H24" s="5"/>
      <c r="I24" s="7" t="s">
        <v>92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</row>
    <row r="25" spans="2:14" x14ac:dyDescent="0.3">
      <c r="B25" s="7" t="s">
        <v>55</v>
      </c>
      <c r="C25" s="24">
        <f>SUM(C22:C24)</f>
        <v>4.1690000000000005</v>
      </c>
      <c r="D25" s="24">
        <f>SUM(D22:D24)</f>
        <v>96.019000000000005</v>
      </c>
      <c r="E25" s="24">
        <f>SUM(E22:E24)</f>
        <v>140.6</v>
      </c>
      <c r="F25" s="24">
        <f>SUM(F22:F24)</f>
        <v>63.989999999999995</v>
      </c>
      <c r="G25" s="24">
        <f>SUM(G22:G24)</f>
        <v>103.56</v>
      </c>
      <c r="H25" s="5"/>
      <c r="I25" s="7" t="s">
        <v>106</v>
      </c>
      <c r="J25" s="24">
        <v>57.036999999999999</v>
      </c>
      <c r="K25" s="24">
        <v>98.932000000000002</v>
      </c>
      <c r="L25" s="24">
        <v>44.6</v>
      </c>
      <c r="M25" s="24">
        <v>51.7</v>
      </c>
      <c r="N25" s="24">
        <v>84.3</v>
      </c>
    </row>
    <row r="26" spans="2:14" x14ac:dyDescent="0.3">
      <c r="B26" s="14" t="s">
        <v>54</v>
      </c>
      <c r="C26" s="11">
        <f>C25/C20</f>
        <v>0.31331730046595507</v>
      </c>
      <c r="D26" s="11">
        <f>D25/D20</f>
        <v>0.2560295015612043</v>
      </c>
      <c r="E26" s="11">
        <f>E25/E20</f>
        <v>0.2777695461055959</v>
      </c>
      <c r="F26" s="26">
        <f>F25/F20</f>
        <v>0.12542386169858288</v>
      </c>
      <c r="G26" s="26">
        <f>G25/G20</f>
        <v>0.22733958246438216</v>
      </c>
      <c r="H26" s="5"/>
      <c r="I26" s="9" t="s">
        <v>14</v>
      </c>
      <c r="J26" s="28">
        <f>SUM(J17:J25)</f>
        <v>75.180999999999997</v>
      </c>
      <c r="K26" s="28">
        <f>SUM(K17:K25)</f>
        <v>125.23099999999999</v>
      </c>
      <c r="L26" s="28">
        <f>SUM(L17:L25)</f>
        <v>70.195000000000007</v>
      </c>
      <c r="M26" s="28">
        <f>SUM(M17:M25)</f>
        <v>1009.9</v>
      </c>
      <c r="N26" s="28">
        <f>SUM(N17:N25)</f>
        <v>1077.7</v>
      </c>
    </row>
    <row r="27" spans="2:14" x14ac:dyDescent="0.3">
      <c r="B27" s="9" t="s">
        <v>111</v>
      </c>
      <c r="C27" s="28">
        <f>C20-C25</f>
        <v>9.1370000000000076</v>
      </c>
      <c r="D27" s="28">
        <f>D20-D25</f>
        <v>279.012</v>
      </c>
      <c r="E27" s="28">
        <f>E20-E25</f>
        <v>365.57500000000005</v>
      </c>
      <c r="F27" s="28">
        <f>F20-F25</f>
        <v>446.19999999999993</v>
      </c>
      <c r="G27" s="28">
        <f>G20-G25</f>
        <v>351.96999999999997</v>
      </c>
      <c r="H27" s="5"/>
      <c r="I27" s="7"/>
      <c r="J27" s="24"/>
      <c r="K27" s="24"/>
      <c r="L27" s="24"/>
      <c r="M27" s="24"/>
      <c r="N27" s="24"/>
    </row>
    <row r="28" spans="2:14" x14ac:dyDescent="0.3">
      <c r="B28" s="7" t="s">
        <v>112</v>
      </c>
      <c r="C28" s="24">
        <v>0.127</v>
      </c>
      <c r="D28" s="24">
        <v>1.609</v>
      </c>
      <c r="E28" s="24">
        <v>0.2</v>
      </c>
      <c r="F28" s="24"/>
      <c r="G28" s="24"/>
      <c r="H28" s="5"/>
      <c r="I28" s="15" t="s">
        <v>15</v>
      </c>
      <c r="J28" s="24"/>
      <c r="K28" s="24"/>
      <c r="L28" s="24"/>
      <c r="M28" s="24"/>
      <c r="N28" s="24"/>
    </row>
    <row r="29" spans="2:14" x14ac:dyDescent="0.3">
      <c r="B29" s="9" t="s">
        <v>113</v>
      </c>
      <c r="C29" s="28">
        <f>C27-C28</f>
        <v>9.0100000000000069</v>
      </c>
      <c r="D29" s="28">
        <f t="shared" ref="D29:G29" si="2">D27-D28</f>
        <v>277.40300000000002</v>
      </c>
      <c r="E29" s="28">
        <f t="shared" si="2"/>
        <v>365.37500000000006</v>
      </c>
      <c r="F29" s="28">
        <f t="shared" si="2"/>
        <v>446.19999999999993</v>
      </c>
      <c r="G29" s="28">
        <f t="shared" si="2"/>
        <v>351.96999999999997</v>
      </c>
      <c r="H29" s="5"/>
      <c r="I29" s="7" t="s">
        <v>17</v>
      </c>
      <c r="J29" s="24" t="s">
        <v>97</v>
      </c>
      <c r="K29" s="24" t="s">
        <v>97</v>
      </c>
      <c r="L29" s="24" t="s">
        <v>97</v>
      </c>
      <c r="M29" s="24" t="s">
        <v>97</v>
      </c>
      <c r="N29" s="24" t="s">
        <v>97</v>
      </c>
    </row>
    <row r="30" spans="2:14" x14ac:dyDescent="0.3">
      <c r="B30" s="14" t="s">
        <v>56</v>
      </c>
      <c r="C30" s="11">
        <f>IF(C29/C5&gt;100%,"N.A.",IF(C29/C5&lt;-100%,"N.A.",(C29/C5)))</f>
        <v>3.5813088272704172E-2</v>
      </c>
      <c r="D30" s="11">
        <f>IF(D29/D5&gt;100%,"N.A.",IF(D29/D5&lt;-100%,"N.A.",(D29/D5)))</f>
        <v>0.35262764499652971</v>
      </c>
      <c r="E30" s="11">
        <f>IF(E29/E5&gt;100%,"N.A.",IF(E29/E5&lt;-100%,"N.A.",(E29/E5)))</f>
        <v>0.35587422579397826</v>
      </c>
      <c r="F30" s="11">
        <f>IF(F29/F5&gt;100%,"N.A.",IF(F29/F5&lt;-100%,"N.A.",(F29/F5)))</f>
        <v>0.14673287513565061</v>
      </c>
      <c r="G30" s="11">
        <f t="shared" ref="G30" si="3">IF(G29/G5&gt;100%,"N.A.",IF(G29/G5&lt;-100%,"N.A.",(G29/G5)))</f>
        <v>0.11954852997119721</v>
      </c>
      <c r="H30" s="5"/>
      <c r="I30" s="7" t="s">
        <v>18</v>
      </c>
      <c r="J30" s="24"/>
      <c r="K30" s="24"/>
      <c r="L30" s="24"/>
      <c r="M30" s="24"/>
      <c r="N30" s="24"/>
    </row>
    <row r="31" spans="2:14" x14ac:dyDescent="0.3">
      <c r="B31" s="14" t="s">
        <v>42</v>
      </c>
      <c r="C31" s="11"/>
      <c r="D31" s="11" t="str">
        <f>IF(D27/C27-1&gt;100%,"N.A.",IF(D27/C27-1&lt;-100%,"N.A.",D27/C27-1))</f>
        <v>N.A.</v>
      </c>
      <c r="E31" s="11">
        <f>IF(E27/D27-1&gt;100%,"N.A.",IF(E27/D27-1&lt;-100%,"N.A.",E27/D27-1))</f>
        <v>0.31024830473241316</v>
      </c>
      <c r="F31" s="11">
        <f>IF(F27/E27-1&gt;100%,"N.A.",IF(F27/E27-1&lt;-100%,"N.A.",F27/E27-1))</f>
        <v>0.22054298023661323</v>
      </c>
      <c r="G31" s="11"/>
      <c r="H31" s="5"/>
      <c r="I31" s="7" t="s">
        <v>107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</row>
    <row r="32" spans="2:14" x14ac:dyDescent="0.3">
      <c r="B32" s="14" t="s">
        <v>47</v>
      </c>
      <c r="C32" s="11"/>
      <c r="D32" s="11"/>
      <c r="E32" s="11" t="s">
        <v>120</v>
      </c>
      <c r="F32" s="11" t="str">
        <f>IF((F27/C27)^(1/3)-1&lt;-100%,"N.A.",IF((F27/C27)^(1/3)-1&gt;100%,"N.A.",((F27/C27)^(1/3)-1)))</f>
        <v>N.A.</v>
      </c>
      <c r="G32" s="11"/>
      <c r="H32" s="5"/>
      <c r="I32" s="7" t="s">
        <v>19</v>
      </c>
      <c r="J32" s="24">
        <v>26.056000000000001</v>
      </c>
      <c r="K32" s="24">
        <v>154.62100000000001</v>
      </c>
      <c r="L32" s="24">
        <v>530.98299999999995</v>
      </c>
      <c r="M32" s="24">
        <v>775.4</v>
      </c>
      <c r="N32" s="24">
        <v>1120.5</v>
      </c>
    </row>
    <row r="33" spans="2:14" x14ac:dyDescent="0.3">
      <c r="B33" s="7" t="s">
        <v>57</v>
      </c>
      <c r="C33" s="16">
        <v>0</v>
      </c>
      <c r="D33" s="16">
        <v>0</v>
      </c>
      <c r="E33" s="16">
        <v>0</v>
      </c>
      <c r="F33" s="17">
        <f>1.55+8.58-2.16</f>
        <v>7.9700000000000006</v>
      </c>
      <c r="G33" s="17">
        <f>22.99+16.93-4.26</f>
        <v>35.660000000000004</v>
      </c>
      <c r="H33" s="5"/>
      <c r="I33" s="7" t="s">
        <v>20</v>
      </c>
      <c r="J33" s="24">
        <v>45.067</v>
      </c>
      <c r="K33" s="24">
        <v>101.755</v>
      </c>
      <c r="L33" s="24">
        <v>427.6</v>
      </c>
      <c r="M33" s="24">
        <v>428.5</v>
      </c>
      <c r="N33" s="24">
        <v>1145.9000000000001</v>
      </c>
    </row>
    <row r="34" spans="2:14" x14ac:dyDescent="0.3">
      <c r="B34" s="15" t="s">
        <v>58</v>
      </c>
      <c r="C34" s="24">
        <f>C33</f>
        <v>0</v>
      </c>
      <c r="D34" s="24">
        <f>D33</f>
        <v>0</v>
      </c>
      <c r="E34" s="24">
        <f t="shared" ref="E34:G34" si="4">E33</f>
        <v>0</v>
      </c>
      <c r="F34" s="24">
        <f t="shared" si="4"/>
        <v>7.9700000000000006</v>
      </c>
      <c r="G34" s="24">
        <f t="shared" si="4"/>
        <v>35.660000000000004</v>
      </c>
      <c r="H34" s="5"/>
      <c r="I34" s="7" t="s">
        <v>21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2:14" x14ac:dyDescent="0.3">
      <c r="B35" s="9" t="s">
        <v>59</v>
      </c>
      <c r="C35" s="28">
        <f>C29+C34</f>
        <v>9.0100000000000069</v>
      </c>
      <c r="D35" s="28">
        <f t="shared" ref="D35:G35" si="5">D29+D34</f>
        <v>277.40300000000002</v>
      </c>
      <c r="E35" s="28">
        <f t="shared" si="5"/>
        <v>365.37500000000006</v>
      </c>
      <c r="F35" s="28">
        <f>F29+F34</f>
        <v>454.16999999999996</v>
      </c>
      <c r="G35" s="28">
        <f t="shared" si="5"/>
        <v>387.63</v>
      </c>
      <c r="H35" s="5"/>
      <c r="I35" s="7" t="s">
        <v>22</v>
      </c>
      <c r="J35" s="24" t="s">
        <v>97</v>
      </c>
      <c r="K35" s="24" t="s">
        <v>97</v>
      </c>
      <c r="L35" s="24">
        <v>39.182000000000002</v>
      </c>
      <c r="M35" s="24">
        <v>0</v>
      </c>
      <c r="N35" s="24">
        <v>0.8</v>
      </c>
    </row>
    <row r="36" spans="2:14" x14ac:dyDescent="0.3">
      <c r="B36" s="14" t="s">
        <v>42</v>
      </c>
      <c r="C36" s="11"/>
      <c r="D36" s="11" t="str">
        <f>IF(D35/C35-1&gt;100%,"N.A.",IF(D35/C35-1&lt;-100%,"N.A.",(D35/C35-1)))</f>
        <v>N.A.</v>
      </c>
      <c r="E36" s="11">
        <f>IF(E35/D35-1&gt;100%,"N.A.",IF(E35/D35-1&lt;-100%,"N.A.",(E35/D35-1)))</f>
        <v>0.31712706783992983</v>
      </c>
      <c r="F36" s="11">
        <f>IF(F35/E35-1&gt;100%,"N.A.",IF(F35/E35-1&lt;-100%,"N.A.",(F35/E35-1)))</f>
        <v>0.24302429011289739</v>
      </c>
      <c r="G36" s="11"/>
      <c r="H36" s="5"/>
      <c r="I36" s="7" t="s">
        <v>23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</row>
    <row r="37" spans="2:14" x14ac:dyDescent="0.3">
      <c r="B37" s="14" t="s">
        <v>47</v>
      </c>
      <c r="C37" s="11"/>
      <c r="D37" s="11"/>
      <c r="E37" s="11" t="s">
        <v>120</v>
      </c>
      <c r="F37" s="11" t="str">
        <f>IF((F35/C35)^(1/3)-1&lt;-100%,"N.A.",IF((F35/C35)^(1/3)-1&gt;100%,"N.A.",((F35/C35)^(1/3)-1)))</f>
        <v>N.A.</v>
      </c>
      <c r="G37" s="11"/>
      <c r="H37" s="5"/>
      <c r="I37" s="7" t="s">
        <v>24</v>
      </c>
      <c r="J37" s="24">
        <v>10.804</v>
      </c>
      <c r="K37" s="24">
        <v>152.87200000000001</v>
      </c>
      <c r="L37" s="24">
        <v>362.416</v>
      </c>
      <c r="M37" s="24">
        <v>869.3</v>
      </c>
      <c r="N37" s="24">
        <v>1024.5</v>
      </c>
    </row>
    <row r="38" spans="2:14" x14ac:dyDescent="0.3">
      <c r="B38" s="7" t="s">
        <v>62</v>
      </c>
      <c r="C38" s="13"/>
      <c r="D38" s="13"/>
      <c r="E38" s="13"/>
      <c r="F38" s="31"/>
      <c r="G38" s="31"/>
      <c r="H38" s="5"/>
      <c r="I38" s="9" t="s">
        <v>25</v>
      </c>
      <c r="J38" s="28">
        <f>SUM(J29:J37)</f>
        <v>81.927000000000007</v>
      </c>
      <c r="K38" s="28">
        <f>SUM(K29:K37)</f>
        <v>409.24799999999999</v>
      </c>
      <c r="L38" s="28">
        <f>SUM(L29:L37)</f>
        <v>1360.181</v>
      </c>
      <c r="M38" s="28">
        <f>SUM(M29:M37)</f>
        <v>2073.1999999999998</v>
      </c>
      <c r="N38" s="28">
        <f>SUM(N29:N37)</f>
        <v>3291.7000000000003</v>
      </c>
    </row>
    <row r="39" spans="2:14" x14ac:dyDescent="0.3">
      <c r="B39" s="18" t="s">
        <v>60</v>
      </c>
      <c r="C39" s="34">
        <v>0.53</v>
      </c>
      <c r="D39" s="34">
        <v>16.32</v>
      </c>
      <c r="E39" s="34">
        <v>17.86</v>
      </c>
      <c r="F39" s="35">
        <v>16.03</v>
      </c>
      <c r="G39" s="35">
        <v>15.54</v>
      </c>
      <c r="H39" s="5"/>
      <c r="I39" s="15" t="s">
        <v>26</v>
      </c>
      <c r="J39" s="24"/>
      <c r="K39" s="24"/>
      <c r="L39" s="24"/>
      <c r="M39" s="24"/>
      <c r="N39" s="24"/>
    </row>
    <row r="40" spans="2:14" x14ac:dyDescent="0.3">
      <c r="B40" s="18" t="s">
        <v>61</v>
      </c>
      <c r="C40" s="34">
        <v>0.53</v>
      </c>
      <c r="D40" s="34">
        <v>16.32</v>
      </c>
      <c r="E40" s="34">
        <v>17.86</v>
      </c>
      <c r="F40" s="35">
        <v>16.03</v>
      </c>
      <c r="G40" s="35">
        <v>15.54</v>
      </c>
      <c r="H40" s="5"/>
      <c r="I40" s="7" t="s">
        <v>27</v>
      </c>
      <c r="J40" s="24"/>
      <c r="K40" s="24"/>
      <c r="L40" s="24"/>
      <c r="M40" s="24"/>
      <c r="N40" s="24"/>
    </row>
    <row r="41" spans="2:14" x14ac:dyDescent="0.3">
      <c r="B41" s="14" t="s">
        <v>42</v>
      </c>
      <c r="C41" s="11" t="s">
        <v>114</v>
      </c>
      <c r="D41" s="11" t="str">
        <f>IF(D40/C40-1&gt;100%,"N.A.",IF(D40/C40-1&lt;-100%,"N.A.",(D40/C40-1)))</f>
        <v>N.A.</v>
      </c>
      <c r="E41" s="11">
        <f>IF(E40/D40-1&gt;100%,"N.A.",IF(E40/D40-1&lt;-100%,"N.A.",(E40/D40-1)))</f>
        <v>9.4362745098039102E-2</v>
      </c>
      <c r="F41" s="11">
        <f>IF(F40/E40-1&gt;100%,"N.A.",IF(F40/E40-1&lt;-100%,"N.A.",(F40/E40-1)))</f>
        <v>-0.10246360582306824</v>
      </c>
      <c r="G41" s="11"/>
      <c r="H41" s="5"/>
      <c r="I41" s="7" t="s">
        <v>28</v>
      </c>
      <c r="J41" s="24">
        <v>30.905000000000001</v>
      </c>
      <c r="K41" s="24">
        <v>25.257999999999999</v>
      </c>
      <c r="L41" s="24">
        <v>5.601</v>
      </c>
      <c r="M41" s="24">
        <v>357</v>
      </c>
      <c r="N41" s="24">
        <v>315.2</v>
      </c>
    </row>
    <row r="42" spans="2:14" x14ac:dyDescent="0.3">
      <c r="B42" s="14" t="s">
        <v>47</v>
      </c>
      <c r="C42" s="11"/>
      <c r="D42" s="11"/>
      <c r="E42" s="11" t="s">
        <v>120</v>
      </c>
      <c r="F42" s="11" t="str">
        <f>IF((F40/C40)^(1/3)-1&lt;-100%,"N.A.",IF((F40/C40)^(1/3)-1&gt;100%,"N.A.",((F40/C40)^(1/3)-1)))</f>
        <v>N.A.</v>
      </c>
      <c r="G42" s="11"/>
      <c r="H42" s="5"/>
      <c r="I42" s="7" t="s">
        <v>115</v>
      </c>
      <c r="J42" s="24">
        <v>6.3739999999999997</v>
      </c>
      <c r="K42" s="24">
        <v>19.638000000000002</v>
      </c>
      <c r="L42" s="24">
        <v>30.334</v>
      </c>
      <c r="M42" s="24">
        <v>43.9</v>
      </c>
      <c r="N42" s="24">
        <v>46.9</v>
      </c>
    </row>
    <row r="43" spans="2:14" x14ac:dyDescent="0.3">
      <c r="H43" s="5"/>
      <c r="I43" s="7" t="s">
        <v>116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2:14" x14ac:dyDescent="0.3">
      <c r="B44" s="8" t="s">
        <v>72</v>
      </c>
      <c r="C44" s="27" t="s">
        <v>1</v>
      </c>
      <c r="D44" s="27" t="s">
        <v>2</v>
      </c>
      <c r="E44" s="27" t="s">
        <v>90</v>
      </c>
      <c r="F44" s="27" t="s">
        <v>98</v>
      </c>
      <c r="G44" s="27" t="s">
        <v>110</v>
      </c>
      <c r="H44" s="5"/>
      <c r="I44" s="7" t="s">
        <v>29</v>
      </c>
      <c r="J44" s="24">
        <v>0</v>
      </c>
      <c r="K44" s="24">
        <v>0</v>
      </c>
      <c r="L44" s="24">
        <v>0</v>
      </c>
      <c r="M44" s="24">
        <v>27.5</v>
      </c>
      <c r="N44" s="24">
        <v>16</v>
      </c>
    </row>
    <row r="45" spans="2:14" x14ac:dyDescent="0.3">
      <c r="B45" s="15" t="s">
        <v>67</v>
      </c>
      <c r="C45" s="25">
        <v>11.026</v>
      </c>
      <c r="D45" s="25">
        <v>45.067</v>
      </c>
      <c r="E45" s="25">
        <f t="shared" ref="E45:F45" si="6">D51</f>
        <v>101.874</v>
      </c>
      <c r="F45" s="25">
        <f t="shared" si="6"/>
        <v>29.770000000000095</v>
      </c>
      <c r="G45" s="25">
        <f>F51</f>
        <v>298.57000000000005</v>
      </c>
      <c r="H45" s="5"/>
      <c r="I45" s="9" t="s">
        <v>30</v>
      </c>
      <c r="J45" s="28">
        <f>SUM(J41:J44)</f>
        <v>37.279000000000003</v>
      </c>
      <c r="K45" s="28">
        <f>SUM(K41:K44)</f>
        <v>44.896000000000001</v>
      </c>
      <c r="L45" s="28">
        <f>SUM(L41:L44)</f>
        <v>35.935000000000002</v>
      </c>
      <c r="M45" s="28">
        <f>SUM(M41:M44)</f>
        <v>428.4</v>
      </c>
      <c r="N45" s="28">
        <f>SUM(N41:N44)</f>
        <v>378.09999999999997</v>
      </c>
    </row>
    <row r="46" spans="2:14" x14ac:dyDescent="0.3">
      <c r="B46" s="18" t="s">
        <v>63</v>
      </c>
      <c r="C46" s="25">
        <v>7.875</v>
      </c>
      <c r="D46" s="25">
        <v>114.506</v>
      </c>
      <c r="E46" s="25">
        <v>-279.02800000000002</v>
      </c>
      <c r="F46" s="25">
        <v>96.3</v>
      </c>
      <c r="G46" s="25">
        <v>-170.7</v>
      </c>
      <c r="H46" s="5"/>
      <c r="I46" s="15" t="s">
        <v>31</v>
      </c>
      <c r="J46" s="24"/>
      <c r="K46" s="24"/>
      <c r="L46" s="24"/>
      <c r="M46" s="24"/>
      <c r="N46" s="24"/>
    </row>
    <row r="47" spans="2:14" x14ac:dyDescent="0.3">
      <c r="B47" s="18" t="s">
        <v>64</v>
      </c>
      <c r="C47" s="25">
        <v>-5.1669999999999998</v>
      </c>
      <c r="D47" s="25">
        <v>-52.228000000000002</v>
      </c>
      <c r="E47" s="25">
        <v>-319.17599999999999</v>
      </c>
      <c r="F47" s="25">
        <v>-717.2</v>
      </c>
      <c r="G47" s="25">
        <v>-797.8</v>
      </c>
      <c r="H47" s="5"/>
      <c r="I47" s="7" t="s">
        <v>27</v>
      </c>
      <c r="J47" s="24"/>
      <c r="K47" s="24"/>
      <c r="L47" s="24"/>
      <c r="M47" s="24"/>
      <c r="N47" s="24"/>
    </row>
    <row r="48" spans="2:14" x14ac:dyDescent="0.3">
      <c r="B48" s="18" t="s">
        <v>65</v>
      </c>
      <c r="C48" s="25">
        <v>30.68</v>
      </c>
      <c r="D48" s="25">
        <v>-5.4710000000000001</v>
      </c>
      <c r="E48" s="25">
        <v>525.70000000000005</v>
      </c>
      <c r="F48" s="25">
        <v>888.1</v>
      </c>
      <c r="G48" s="25">
        <v>933.2</v>
      </c>
      <c r="H48" s="5"/>
      <c r="I48" s="7" t="s">
        <v>28</v>
      </c>
      <c r="J48" s="24">
        <v>10.417999999999999</v>
      </c>
      <c r="K48" s="24">
        <v>17.449000000000002</v>
      </c>
      <c r="L48" s="24">
        <v>18.638999999999999</v>
      </c>
      <c r="M48" s="24">
        <v>155.19999999999999</v>
      </c>
      <c r="N48" s="24">
        <v>347.4</v>
      </c>
    </row>
    <row r="49" spans="2:15" x14ac:dyDescent="0.3">
      <c r="B49" s="18" t="s">
        <v>125</v>
      </c>
      <c r="C49" s="25">
        <v>0</v>
      </c>
      <c r="D49" s="25">
        <v>0</v>
      </c>
      <c r="E49" s="25">
        <v>0.4</v>
      </c>
      <c r="F49" s="25">
        <v>1.6</v>
      </c>
      <c r="G49" s="25">
        <v>20.5</v>
      </c>
      <c r="H49" s="5"/>
      <c r="I49" s="7" t="s">
        <v>108</v>
      </c>
      <c r="J49" s="24">
        <v>19.981999999999999</v>
      </c>
      <c r="K49" s="24">
        <v>40.877000000000002</v>
      </c>
      <c r="L49" s="24">
        <v>60.356999999999999</v>
      </c>
      <c r="M49" s="24">
        <v>37.700000000000003</v>
      </c>
      <c r="N49" s="24">
        <v>98.9</v>
      </c>
    </row>
    <row r="50" spans="2:15" x14ac:dyDescent="0.3">
      <c r="B50" s="19" t="s">
        <v>103</v>
      </c>
      <c r="C50" s="36">
        <f>SUM(C46:C49)</f>
        <v>33.387999999999998</v>
      </c>
      <c r="D50" s="36">
        <f t="shared" ref="D50:G50" si="7">SUM(D46:D49)</f>
        <v>56.807000000000002</v>
      </c>
      <c r="E50" s="36">
        <f t="shared" si="7"/>
        <v>-72.1039999999999</v>
      </c>
      <c r="F50" s="36">
        <f t="shared" si="7"/>
        <v>268.79999999999995</v>
      </c>
      <c r="G50" s="36">
        <f t="shared" si="7"/>
        <v>-14.799999999999955</v>
      </c>
      <c r="H50" s="5"/>
      <c r="I50" s="7" t="s">
        <v>109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2:15" x14ac:dyDescent="0.3">
      <c r="B51" s="20" t="s">
        <v>66</v>
      </c>
      <c r="C51" s="28">
        <f>C45+C50</f>
        <v>44.414000000000001</v>
      </c>
      <c r="D51" s="28">
        <f>D45+D50</f>
        <v>101.874</v>
      </c>
      <c r="E51" s="28">
        <f>E45+E50</f>
        <v>29.770000000000095</v>
      </c>
      <c r="F51" s="28">
        <f>F45+F50</f>
        <v>298.57000000000005</v>
      </c>
      <c r="G51" s="28">
        <f>G45+G50</f>
        <v>283.7700000000001</v>
      </c>
      <c r="H51" s="5"/>
      <c r="I51" s="7" t="s">
        <v>32</v>
      </c>
      <c r="J51" s="24">
        <v>47.2</v>
      </c>
      <c r="K51" s="24">
        <v>42.991</v>
      </c>
      <c r="L51" s="24">
        <v>38.177</v>
      </c>
      <c r="M51" s="24">
        <v>281.60000000000002</v>
      </c>
      <c r="N51" s="24">
        <v>275.3</v>
      </c>
    </row>
    <row r="52" spans="2:15" x14ac:dyDescent="0.3">
      <c r="H52" s="5"/>
      <c r="I52" s="7" t="s">
        <v>33</v>
      </c>
      <c r="J52" s="24">
        <v>0.36599999999999999</v>
      </c>
      <c r="K52" s="24">
        <v>67.626999999999995</v>
      </c>
      <c r="L52" s="24">
        <v>41.816000000000003</v>
      </c>
      <c r="M52" s="24">
        <v>73.900000000000006</v>
      </c>
      <c r="N52" s="24">
        <v>63.3</v>
      </c>
    </row>
    <row r="53" spans="2:15" x14ac:dyDescent="0.3">
      <c r="B53" s="8" t="s">
        <v>71</v>
      </c>
      <c r="C53" s="37" t="s">
        <v>1</v>
      </c>
      <c r="D53" s="27" t="s">
        <v>2</v>
      </c>
      <c r="E53" s="27" t="s">
        <v>90</v>
      </c>
      <c r="F53" s="27" t="s">
        <v>98</v>
      </c>
      <c r="G53" s="27" t="s">
        <v>110</v>
      </c>
      <c r="H53" s="5"/>
      <c r="I53" s="9" t="s">
        <v>34</v>
      </c>
      <c r="J53" s="28">
        <f>SUM(J48:J52)</f>
        <v>77.965999999999994</v>
      </c>
      <c r="K53" s="28">
        <f t="shared" ref="K53:N53" si="8">SUM(K48:K52)</f>
        <v>168.94400000000002</v>
      </c>
      <c r="L53" s="28">
        <f t="shared" si="8"/>
        <v>158.989</v>
      </c>
      <c r="M53" s="28">
        <f>SUM(M48:M52)</f>
        <v>548.4</v>
      </c>
      <c r="N53" s="28">
        <f t="shared" si="8"/>
        <v>784.89999999999986</v>
      </c>
    </row>
    <row r="54" spans="2:15" x14ac:dyDescent="0.3">
      <c r="B54" s="7" t="s">
        <v>68</v>
      </c>
      <c r="C54" s="25">
        <f>C46</f>
        <v>7.875</v>
      </c>
      <c r="D54" s="25">
        <f>D46</f>
        <v>114.506</v>
      </c>
      <c r="E54" s="25">
        <f>E46</f>
        <v>-279.02800000000002</v>
      </c>
      <c r="F54" s="25">
        <f>F46</f>
        <v>96.3</v>
      </c>
      <c r="G54" s="25">
        <f>G46</f>
        <v>-170.7</v>
      </c>
      <c r="H54" s="5"/>
      <c r="I54" s="7"/>
      <c r="J54" s="24"/>
      <c r="K54" s="24"/>
      <c r="L54" s="24"/>
      <c r="M54" s="24"/>
      <c r="N54" s="24"/>
    </row>
    <row r="55" spans="2:15" x14ac:dyDescent="0.3">
      <c r="B55" s="21" t="s">
        <v>69</v>
      </c>
      <c r="C55" s="25">
        <v>7.1509999999999998</v>
      </c>
      <c r="D55" s="25">
        <v>18.225000000000001</v>
      </c>
      <c r="E55" s="25">
        <v>6.5209999999999999</v>
      </c>
      <c r="F55" s="25">
        <v>991.9</v>
      </c>
      <c r="G55" s="25">
        <v>72.5</v>
      </c>
      <c r="H55" s="5"/>
      <c r="I55" s="9" t="s">
        <v>35</v>
      </c>
      <c r="J55" s="28">
        <f>J38-J53</f>
        <v>3.9610000000000127</v>
      </c>
      <c r="K55" s="28">
        <f>K38-K53</f>
        <v>240.30399999999997</v>
      </c>
      <c r="L55" s="28">
        <f>L38-L53</f>
        <v>1201.192</v>
      </c>
      <c r="M55" s="28">
        <f>M38-M53</f>
        <v>1524.7999999999997</v>
      </c>
      <c r="N55" s="28">
        <f>N38-N53</f>
        <v>2506.8000000000002</v>
      </c>
    </row>
    <row r="56" spans="2:15" x14ac:dyDescent="0.3">
      <c r="B56" s="9" t="s">
        <v>70</v>
      </c>
      <c r="C56" s="28">
        <f>C54-C55</f>
        <v>0.7240000000000002</v>
      </c>
      <c r="D56" s="28">
        <f>D54-D55</f>
        <v>96.281000000000006</v>
      </c>
      <c r="E56" s="28">
        <f>E54-E55</f>
        <v>-285.54900000000004</v>
      </c>
      <c r="F56" s="28">
        <f>F54-F55</f>
        <v>-895.6</v>
      </c>
      <c r="G56" s="28">
        <f>G54-G55</f>
        <v>-243.2</v>
      </c>
      <c r="H56" s="5"/>
      <c r="I56" s="7"/>
      <c r="J56" s="24"/>
      <c r="K56" s="24"/>
      <c r="L56" s="24"/>
      <c r="M56" s="24"/>
      <c r="N56" s="24"/>
    </row>
    <row r="57" spans="2:15" x14ac:dyDescent="0.3">
      <c r="F57" s="22"/>
      <c r="G57" s="22"/>
      <c r="H57" s="5"/>
      <c r="I57" s="9" t="s">
        <v>36</v>
      </c>
      <c r="J57" s="28">
        <f>J38+J26</f>
        <v>157.108</v>
      </c>
      <c r="K57" s="28">
        <f>K38+K26</f>
        <v>534.47900000000004</v>
      </c>
      <c r="L57" s="28">
        <f>L38+L26</f>
        <v>1430.376</v>
      </c>
      <c r="M57" s="28">
        <f>M38+M26</f>
        <v>3083.1</v>
      </c>
      <c r="N57" s="28">
        <f>N38+N26</f>
        <v>4369.4000000000005</v>
      </c>
    </row>
    <row r="58" spans="2:15" x14ac:dyDescent="0.3">
      <c r="B58" s="8" t="s">
        <v>122</v>
      </c>
      <c r="C58" s="27" t="s">
        <v>1</v>
      </c>
      <c r="D58" s="27" t="s">
        <v>2</v>
      </c>
      <c r="E58" s="27" t="s">
        <v>90</v>
      </c>
      <c r="F58" s="38" t="s">
        <v>98</v>
      </c>
      <c r="G58" s="27" t="s">
        <v>110</v>
      </c>
      <c r="H58" s="5"/>
      <c r="I58" s="9" t="s">
        <v>37</v>
      </c>
      <c r="J58" s="28">
        <f>J45+J53</f>
        <v>115.245</v>
      </c>
      <c r="K58" s="28">
        <f>K45+K53</f>
        <v>213.84000000000003</v>
      </c>
      <c r="L58" s="28">
        <f>L45+L53</f>
        <v>194.92400000000001</v>
      </c>
      <c r="M58" s="28">
        <f>M45+M53</f>
        <v>976.8</v>
      </c>
      <c r="N58" s="28">
        <f>N45+N53</f>
        <v>1162.9999999999998</v>
      </c>
    </row>
    <row r="59" spans="2:15" x14ac:dyDescent="0.3">
      <c r="B59" s="7" t="s">
        <v>93</v>
      </c>
      <c r="C59" s="39">
        <f>1000000/10^6</f>
        <v>1</v>
      </c>
      <c r="D59" s="39">
        <f>17000000/10^6</f>
        <v>17</v>
      </c>
      <c r="E59" s="39">
        <f>23240000/10^6</f>
        <v>23.24</v>
      </c>
      <c r="F59" s="39">
        <f>23240000/10^6</f>
        <v>23.24</v>
      </c>
      <c r="G59" s="39">
        <f>23461311/10^6</f>
        <v>23.461310999999998</v>
      </c>
      <c r="H59" s="5"/>
      <c r="I59" s="9" t="s">
        <v>38</v>
      </c>
      <c r="J59" s="28">
        <f>J58+J7</f>
        <v>156.99099999999999</v>
      </c>
      <c r="K59" s="28">
        <f>K58+K7</f>
        <v>534.47900000000004</v>
      </c>
      <c r="L59" s="28">
        <f>L58+L7</f>
        <v>1430.4099999999999</v>
      </c>
      <c r="M59" s="28">
        <f>M58+M7</f>
        <v>3083.1000000000004</v>
      </c>
      <c r="N59" s="28">
        <f>N58+N7</f>
        <v>4369.3999999999996</v>
      </c>
    </row>
    <row r="60" spans="2:15" x14ac:dyDescent="0.3">
      <c r="B60" s="7" t="s">
        <v>94</v>
      </c>
      <c r="C60" s="24">
        <v>10</v>
      </c>
      <c r="D60" s="24">
        <v>10</v>
      </c>
      <c r="E60" s="24">
        <v>10</v>
      </c>
      <c r="F60" s="24">
        <v>10</v>
      </c>
      <c r="G60" s="24">
        <v>10</v>
      </c>
      <c r="H60" s="5"/>
      <c r="J60" s="6"/>
      <c r="K60" s="6"/>
      <c r="L60" s="6"/>
    </row>
    <row r="61" spans="2:15" x14ac:dyDescent="0.3">
      <c r="B61" s="21" t="s">
        <v>95</v>
      </c>
      <c r="C61" s="24">
        <f>C59*J62</f>
        <v>0</v>
      </c>
      <c r="D61" s="24">
        <f>D59*K62</f>
        <v>0</v>
      </c>
      <c r="E61" s="24">
        <f>E59*L62</f>
        <v>8223.4740000000002</v>
      </c>
      <c r="F61" s="24">
        <f>F59*M62</f>
        <v>5581.0859999999993</v>
      </c>
      <c r="G61" s="24">
        <f>G59*N62</f>
        <v>7859.5391849999996</v>
      </c>
      <c r="H61" s="5"/>
      <c r="I61" s="8" t="s">
        <v>87</v>
      </c>
      <c r="J61" s="27" t="s">
        <v>1</v>
      </c>
      <c r="K61" s="27" t="s">
        <v>2</v>
      </c>
      <c r="L61" s="27" t="s">
        <v>90</v>
      </c>
      <c r="M61" s="27" t="s">
        <v>98</v>
      </c>
      <c r="N61" s="27" t="s">
        <v>126</v>
      </c>
    </row>
    <row r="62" spans="2:15" x14ac:dyDescent="0.3">
      <c r="B62" s="21" t="s">
        <v>73</v>
      </c>
      <c r="C62" s="25">
        <f>J48+J41</f>
        <v>41.323</v>
      </c>
      <c r="D62" s="25">
        <f>K48+K41</f>
        <v>42.707000000000001</v>
      </c>
      <c r="E62" s="25">
        <f>L48+L41</f>
        <v>24.24</v>
      </c>
      <c r="F62" s="25">
        <f>M48+M41</f>
        <v>512.20000000000005</v>
      </c>
      <c r="G62" s="25">
        <f>N48+N41</f>
        <v>662.59999999999991</v>
      </c>
      <c r="H62" s="5"/>
      <c r="I62" s="7" t="s">
        <v>119</v>
      </c>
      <c r="J62" s="25">
        <v>0</v>
      </c>
      <c r="K62" s="25">
        <v>0</v>
      </c>
      <c r="L62" s="25">
        <v>353.85</v>
      </c>
      <c r="M62" s="25">
        <v>240.15</v>
      </c>
      <c r="N62" s="25">
        <v>335</v>
      </c>
    </row>
    <row r="63" spans="2:15" x14ac:dyDescent="0.3">
      <c r="B63" s="21" t="s">
        <v>74</v>
      </c>
      <c r="C63" s="25">
        <f>J33+J34</f>
        <v>45.067</v>
      </c>
      <c r="D63" s="25">
        <f>K33+K34</f>
        <v>101.755</v>
      </c>
      <c r="E63" s="25">
        <f>L33+L34</f>
        <v>427.6</v>
      </c>
      <c r="F63" s="25">
        <f>M33+M34</f>
        <v>428.5</v>
      </c>
      <c r="G63" s="25">
        <f>N33+N34</f>
        <v>1145.9000000000001</v>
      </c>
      <c r="H63" s="5"/>
      <c r="I63" s="23" t="s">
        <v>86</v>
      </c>
      <c r="J63" s="40">
        <f>C40</f>
        <v>0.53</v>
      </c>
      <c r="K63" s="40">
        <f>D40</f>
        <v>16.32</v>
      </c>
      <c r="L63" s="40">
        <f>E40</f>
        <v>17.86</v>
      </c>
      <c r="M63" s="40">
        <f>F40</f>
        <v>16.03</v>
      </c>
      <c r="N63" s="40">
        <f>M63+G40-8.78</f>
        <v>22.79</v>
      </c>
      <c r="O63" t="s">
        <v>127</v>
      </c>
    </row>
    <row r="64" spans="2:15" x14ac:dyDescent="0.3">
      <c r="B64" s="9" t="s">
        <v>75</v>
      </c>
      <c r="C64" s="28">
        <f>SUM(C61:C62)-C63</f>
        <v>-3.7439999999999998</v>
      </c>
      <c r="D64" s="28">
        <f>SUM(D61:D62)-D63</f>
        <v>-59.047999999999995</v>
      </c>
      <c r="E64" s="28">
        <f>SUM(E61:E62)-E63</f>
        <v>7820.1139999999996</v>
      </c>
      <c r="F64" s="28">
        <f>SUM(F61:F62)-F63</f>
        <v>5664.7859999999991</v>
      </c>
      <c r="G64" s="28">
        <f>SUM(G61:G62)-G63</f>
        <v>7376.2391850000004</v>
      </c>
      <c r="H64" s="5"/>
      <c r="I64" s="7" t="s">
        <v>85</v>
      </c>
      <c r="J64" s="25">
        <f>J8/C59</f>
        <v>39.415999999999997</v>
      </c>
      <c r="K64" s="25">
        <f>K8/D59</f>
        <v>18.629411764705882</v>
      </c>
      <c r="L64" s="25">
        <f>L8/E59</f>
        <v>52.985628227194496</v>
      </c>
      <c r="M64" s="25">
        <f>M8/F59</f>
        <v>87.022375215146312</v>
      </c>
      <c r="N64" s="25">
        <f>N8/G59</f>
        <v>131.84685203652941</v>
      </c>
    </row>
    <row r="65" spans="3:14" x14ac:dyDescent="0.3">
      <c r="H65" s="5"/>
      <c r="I65" s="23" t="s">
        <v>76</v>
      </c>
      <c r="J65" s="40">
        <f>J62/J63</f>
        <v>0</v>
      </c>
      <c r="K65" s="40">
        <f>K62/K63</f>
        <v>0</v>
      </c>
      <c r="L65" s="40">
        <f>L62/L63</f>
        <v>19.812430011198209</v>
      </c>
      <c r="M65" s="40">
        <f>M62/M63</f>
        <v>14.981285090455396</v>
      </c>
      <c r="N65" s="40">
        <f>N62/N63</f>
        <v>14.699429574374726</v>
      </c>
    </row>
    <row r="66" spans="3:14" x14ac:dyDescent="0.3">
      <c r="F66" s="6"/>
      <c r="G66" s="6"/>
      <c r="H66" s="5"/>
      <c r="I66" s="7" t="s">
        <v>77</v>
      </c>
      <c r="J66" s="25">
        <f>J62/J64</f>
        <v>0</v>
      </c>
      <c r="K66" s="25">
        <f>K62/K64</f>
        <v>0</v>
      </c>
      <c r="L66" s="25">
        <f>L62/L64</f>
        <v>6.6782259989962531</v>
      </c>
      <c r="M66" s="25">
        <f>M62/M64</f>
        <v>2.7596350870253161</v>
      </c>
      <c r="N66" s="25">
        <f>N62/N64</f>
        <v>2.5408266850935894</v>
      </c>
    </row>
    <row r="67" spans="3:14" x14ac:dyDescent="0.3">
      <c r="H67" s="5"/>
      <c r="I67" s="7" t="s">
        <v>78</v>
      </c>
      <c r="J67" s="25">
        <v>0</v>
      </c>
      <c r="K67" s="25">
        <f>D64/D11</f>
        <v>-0.15371679227354965</v>
      </c>
      <c r="L67" s="25">
        <f>E64/E11</f>
        <v>15.937461659958222</v>
      </c>
      <c r="M67" s="25">
        <f>F64/F11</f>
        <v>7.929764687766844</v>
      </c>
      <c r="N67" s="25" t="s">
        <v>121</v>
      </c>
    </row>
    <row r="68" spans="3:14" x14ac:dyDescent="0.3">
      <c r="H68" s="5"/>
      <c r="I68" s="23" t="s">
        <v>123</v>
      </c>
      <c r="J68" s="40">
        <v>0</v>
      </c>
      <c r="K68" s="40">
        <f>D5/AVERAGE(J17:K17)</f>
        <v>45.795436022819892</v>
      </c>
      <c r="L68" s="40">
        <f>E5/AVERAGE(K17:L17)</f>
        <v>48.480557195136335</v>
      </c>
      <c r="M68" s="40">
        <f>F5/AVERAGE(L17:M17)</f>
        <v>30.716782157215295</v>
      </c>
      <c r="N68" s="40" t="s">
        <v>121</v>
      </c>
    </row>
    <row r="69" spans="3:14" x14ac:dyDescent="0.3">
      <c r="H69" s="5"/>
      <c r="I69" s="23" t="s">
        <v>79</v>
      </c>
      <c r="J69" s="41">
        <f>C27/J8</f>
        <v>0.23180941749543355</v>
      </c>
      <c r="K69" s="41">
        <f>D27/K8</f>
        <v>0.88099778970634668</v>
      </c>
      <c r="L69" s="41">
        <f>E27/L8</f>
        <v>0.29688091305244663</v>
      </c>
      <c r="M69" s="41">
        <f>F27/M8</f>
        <v>0.2206289556962025</v>
      </c>
      <c r="N69" s="42" t="s">
        <v>121</v>
      </c>
    </row>
    <row r="70" spans="3:14" x14ac:dyDescent="0.3">
      <c r="H70" s="5"/>
      <c r="I70" s="23" t="s">
        <v>80</v>
      </c>
      <c r="J70" s="41">
        <f>(C18+C17)/J14</f>
        <v>0.17533038556335856</v>
      </c>
      <c r="K70" s="41">
        <f>(D18+D17)/K14</f>
        <v>1.0650792414192227</v>
      </c>
      <c r="L70" s="41">
        <f>(E18+E17)/L14</f>
        <v>0.40726697280878227</v>
      </c>
      <c r="M70" s="41">
        <f>(F18+F17)/M14</f>
        <v>0.24190799337173516</v>
      </c>
      <c r="N70" s="42" t="s">
        <v>121</v>
      </c>
    </row>
    <row r="71" spans="3:14" x14ac:dyDescent="0.3">
      <c r="H71" s="5"/>
      <c r="I71" s="23" t="s">
        <v>81</v>
      </c>
      <c r="J71" s="40">
        <f>J12/J8</f>
        <v>1.048381367972397</v>
      </c>
      <c r="K71" s="40">
        <f>K12/K8</f>
        <v>0.13485317335017366</v>
      </c>
      <c r="L71" s="40">
        <f>L12/L8</f>
        <v>1.9685135286579513E-2</v>
      </c>
      <c r="M71" s="40">
        <f>M12/M8</f>
        <v>0.25326344936708861</v>
      </c>
      <c r="N71" s="40">
        <f>N12/N8</f>
        <v>0.21420489444929364</v>
      </c>
    </row>
    <row r="72" spans="3:14" x14ac:dyDescent="0.3">
      <c r="H72" s="5"/>
      <c r="I72" s="23" t="s">
        <v>82</v>
      </c>
      <c r="J72" s="40">
        <f>(J12 -C63)/J8</f>
        <v>-9.4986807387862804E-2</v>
      </c>
      <c r="K72" s="40">
        <f>(K12 -D63)/K8</f>
        <v>-0.1864445847805494</v>
      </c>
      <c r="L72" s="40">
        <f>(L12 -E63)/L8</f>
        <v>-0.32756584856413834</v>
      </c>
      <c r="M72" s="40">
        <f>(M12 -F63)/M8</f>
        <v>4.1386471518987361E-2</v>
      </c>
      <c r="N72" s="40">
        <f>(N12 -G63)/N8</f>
        <v>-0.15624090776840274</v>
      </c>
    </row>
    <row r="73" spans="3:14" x14ac:dyDescent="0.3">
      <c r="C73" t="s">
        <v>96</v>
      </c>
      <c r="H73" s="5"/>
      <c r="I73" s="7" t="s">
        <v>84</v>
      </c>
      <c r="J73" s="25">
        <f>(C18+C17)/C17</f>
        <v>16.654117647058833</v>
      </c>
      <c r="K73" s="25">
        <f>(D18+D17)/D17</f>
        <v>49.285180893523879</v>
      </c>
      <c r="L73" s="25">
        <f>(E18+E17)/E17</f>
        <v>98.341346153846146</v>
      </c>
      <c r="M73" s="25">
        <f>(F18+F17)/F17</f>
        <v>9.793004312410158</v>
      </c>
      <c r="N73" s="25">
        <f>(G18+G17)/G17</f>
        <v>8.2861484325015979</v>
      </c>
    </row>
    <row r="74" spans="3:14" x14ac:dyDescent="0.3">
      <c r="H74" s="5"/>
      <c r="I74" s="23" t="s">
        <v>83</v>
      </c>
      <c r="J74" s="40">
        <f>AVERAGE(J32:J32)/C5*365</f>
        <v>37.802244975833119</v>
      </c>
      <c r="K74" s="40">
        <f>AVERAGE(J32:K32)/D5*365</f>
        <v>41.915142104607504</v>
      </c>
      <c r="L74" s="40">
        <f>AVERAGE(K32:L32)/E5*365</f>
        <v>121.86918828047612</v>
      </c>
      <c r="M74" s="40">
        <f>AVERAGE(L32:M32)/F5*365</f>
        <v>78.40274178697095</v>
      </c>
      <c r="N74" s="40" t="s">
        <v>121</v>
      </c>
    </row>
    <row r="75" spans="3:14" x14ac:dyDescent="0.3">
      <c r="J75" s="1"/>
      <c r="K75" s="1"/>
      <c r="L75" s="1"/>
      <c r="M75" s="3"/>
      <c r="N75" s="2"/>
    </row>
    <row r="76" spans="3:14" x14ac:dyDescent="0.3">
      <c r="M76" s="1"/>
      <c r="N76" s="2"/>
    </row>
    <row r="77" spans="3:14" x14ac:dyDescent="0.3">
      <c r="N77" s="2"/>
    </row>
    <row r="78" spans="3:14" x14ac:dyDescent="0.3">
      <c r="N78" s="2"/>
    </row>
    <row r="79" spans="3:14" x14ac:dyDescent="0.3">
      <c r="N79" s="2"/>
    </row>
    <row r="80" spans="3:14" x14ac:dyDescent="0.3">
      <c r="N80" s="2"/>
    </row>
    <row r="81" spans="6:14" x14ac:dyDescent="0.3">
      <c r="N81" s="2"/>
    </row>
    <row r="82" spans="6:14" x14ac:dyDescent="0.3">
      <c r="N82" s="2"/>
    </row>
    <row r="83" spans="6:14" x14ac:dyDescent="0.3">
      <c r="N83" s="2"/>
    </row>
    <row r="84" spans="6:14" x14ac:dyDescent="0.3">
      <c r="N84" s="2"/>
    </row>
    <row r="86" spans="6:14" x14ac:dyDescent="0.3">
      <c r="N86" s="1"/>
    </row>
    <row r="96" spans="6:14" x14ac:dyDescent="0.3">
      <c r="F96" s="6"/>
      <c r="G96" s="6"/>
    </row>
  </sheetData>
  <mergeCells count="3">
    <mergeCell ref="B3:G3"/>
    <mergeCell ref="B2:N2"/>
    <mergeCell ref="I3:N3"/>
  </mergeCells>
  <pageMargins left="0.7" right="0.7" top="0.75" bottom="0.75" header="0.3" footer="0.3"/>
  <pageSetup scale="35" fitToWidth="0" orientation="portrait" r:id="rId1"/>
  <colBreaks count="1" manualBreakCount="1">
    <brk id="8" max="1048575" man="1"/>
  </colBreaks>
  <ignoredErrors>
    <ignoredError sqref="K68:M70 K74:M74 C50:D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V16</dc:creator>
  <cp:lastModifiedBy>Lenovo</cp:lastModifiedBy>
  <cp:lastPrinted>2026-01-07T08:23:42Z</cp:lastPrinted>
  <dcterms:created xsi:type="dcterms:W3CDTF">2023-11-23T05:15:14Z</dcterms:created>
  <dcterms:modified xsi:type="dcterms:W3CDTF">2026-03-13T09:53:04Z</dcterms:modified>
</cp:coreProperties>
</file>