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ashwiniraj/Downloads/"/>
    </mc:Choice>
  </mc:AlternateContent>
  <xr:revisionPtr revIDLastSave="0" documentId="13_ncr:1_{730EA8B4-FF27-DB4C-81C0-A258549C3178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3" l="1"/>
  <c r="G51" i="3" l="1"/>
  <c r="N42" i="3"/>
  <c r="G53" i="3"/>
  <c r="G46" i="3"/>
  <c r="G42" i="3"/>
  <c r="N39" i="3"/>
  <c r="G45" i="3"/>
  <c r="N7" i="3"/>
  <c r="N11" i="3"/>
  <c r="N15" i="3"/>
  <c r="N28" i="3"/>
  <c r="N49" i="3"/>
  <c r="N12" i="3" l="1"/>
  <c r="N60" i="3"/>
  <c r="N63" i="3" s="1"/>
  <c r="G52" i="3"/>
  <c r="G54" i="3" s="1"/>
  <c r="N68" i="3"/>
  <c r="N67" i="3"/>
  <c r="G47" i="3"/>
  <c r="N54" i="3"/>
  <c r="N13" i="3" s="1"/>
  <c r="N55" i="3"/>
  <c r="N47" i="3"/>
  <c r="G8" i="3"/>
  <c r="G14" i="3" s="1"/>
  <c r="G17" i="3" s="1"/>
  <c r="F51" i="3"/>
  <c r="G21" i="3" l="1"/>
  <c r="G23" i="3" s="1"/>
  <c r="J42" i="3"/>
  <c r="J15" i="3"/>
  <c r="J11" i="3"/>
  <c r="J75" i="3" s="1"/>
  <c r="C53" i="3"/>
  <c r="C8" i="3"/>
  <c r="C14" i="3" s="1"/>
  <c r="C17" i="3" s="1"/>
  <c r="K15" i="3"/>
  <c r="K11" i="3"/>
  <c r="K75" i="3" s="1"/>
  <c r="D53" i="3"/>
  <c r="D51" i="3"/>
  <c r="D45" i="3"/>
  <c r="D47" i="3" s="1"/>
  <c r="D42" i="3"/>
  <c r="D34" i="3"/>
  <c r="D8" i="3"/>
  <c r="D14" i="3" s="1"/>
  <c r="D17" i="3" s="1"/>
  <c r="D6" i="3"/>
  <c r="L72" i="3"/>
  <c r="M72" i="3"/>
  <c r="K72" i="3"/>
  <c r="J72" i="3"/>
  <c r="L71" i="3"/>
  <c r="K71" i="3"/>
  <c r="J71" i="3"/>
  <c r="L70" i="3"/>
  <c r="M70" i="3"/>
  <c r="K70" i="3"/>
  <c r="J70" i="3"/>
  <c r="K59" i="3"/>
  <c r="K62" i="3" s="1"/>
  <c r="L59" i="3"/>
  <c r="L62" i="3" s="1"/>
  <c r="M59" i="3"/>
  <c r="M49" i="3"/>
  <c r="L49" i="3"/>
  <c r="K49" i="3"/>
  <c r="J49" i="3"/>
  <c r="J12" i="3" s="1"/>
  <c r="L39" i="3"/>
  <c r="M28" i="3"/>
  <c r="L28" i="3"/>
  <c r="M15" i="3"/>
  <c r="L15" i="3"/>
  <c r="L54" i="3" s="1"/>
  <c r="M11" i="3"/>
  <c r="L11" i="3"/>
  <c r="L75" i="3" s="1"/>
  <c r="K7" i="3"/>
  <c r="L7" i="3"/>
  <c r="L60" i="3" s="1"/>
  <c r="L63" i="3" s="1"/>
  <c r="M7" i="3"/>
  <c r="M60" i="3" s="1"/>
  <c r="M63" i="3" s="1"/>
  <c r="J7" i="3"/>
  <c r="F53" i="3"/>
  <c r="E45" i="3"/>
  <c r="E47" i="3" s="1"/>
  <c r="F45" i="3"/>
  <c r="E34" i="3"/>
  <c r="E8" i="3"/>
  <c r="E14" i="3" s="1"/>
  <c r="E6" i="3"/>
  <c r="F35" i="3"/>
  <c r="F34" i="3"/>
  <c r="F8" i="3"/>
  <c r="F14" i="3" s="1"/>
  <c r="F17" i="3" s="1"/>
  <c r="F7" i="3"/>
  <c r="F6" i="3"/>
  <c r="L55" i="3" l="1"/>
  <c r="K12" i="3"/>
  <c r="M68" i="3"/>
  <c r="L67" i="3"/>
  <c r="K60" i="3"/>
  <c r="K63" i="3" s="1"/>
  <c r="L47" i="3"/>
  <c r="L74" i="3" s="1"/>
  <c r="M54" i="3"/>
  <c r="K68" i="3"/>
  <c r="G24" i="3"/>
  <c r="G28" i="3" s="1"/>
  <c r="M77" i="3"/>
  <c r="R55" i="3"/>
  <c r="L13" i="3"/>
  <c r="J67" i="3"/>
  <c r="J68" i="3"/>
  <c r="M75" i="3"/>
  <c r="D52" i="3"/>
  <c r="D54" i="3" s="1"/>
  <c r="C21" i="3"/>
  <c r="C52" i="3"/>
  <c r="F52" i="3"/>
  <c r="F54" i="3" s="1"/>
  <c r="M64" i="3" s="1"/>
  <c r="K67" i="3"/>
  <c r="L73" i="3"/>
  <c r="M12" i="3"/>
  <c r="L12" i="3"/>
  <c r="R13" i="3" s="1"/>
  <c r="M67" i="3"/>
  <c r="K73" i="3"/>
  <c r="J73" i="3"/>
  <c r="D21" i="3"/>
  <c r="E17" i="3"/>
  <c r="E21" i="3"/>
  <c r="F21" i="3"/>
  <c r="F23" i="3" s="1"/>
  <c r="F46" i="3"/>
  <c r="F47" i="3" s="1"/>
  <c r="M42" i="3"/>
  <c r="G25" i="3" l="1"/>
  <c r="E23" i="3"/>
  <c r="L76" i="3"/>
  <c r="L66" i="3"/>
  <c r="M39" i="3"/>
  <c r="M71" i="3"/>
  <c r="M73" i="3" s="1"/>
  <c r="M66" i="3"/>
  <c r="M76" i="3"/>
  <c r="C23" i="3"/>
  <c r="C24" i="3"/>
  <c r="C25" i="3" s="1"/>
  <c r="D23" i="3"/>
  <c r="D24" i="3"/>
  <c r="D25" i="3" s="1"/>
  <c r="C46" i="3"/>
  <c r="M55" i="3" l="1"/>
  <c r="S55" i="3" s="1"/>
  <c r="M47" i="3"/>
  <c r="M74" i="3" s="1"/>
  <c r="M13" i="3"/>
  <c r="S13" i="3" s="1"/>
  <c r="C45" i="3"/>
  <c r="C47" i="3" s="1"/>
  <c r="E51" i="3" l="1"/>
  <c r="C51" i="3"/>
  <c r="E53" i="3"/>
  <c r="L68" i="3" s="1"/>
  <c r="J59" i="3"/>
  <c r="J62" i="3" s="1"/>
  <c r="K39" i="3"/>
  <c r="K55" i="3" s="1"/>
  <c r="J39" i="3"/>
  <c r="J55" i="3" s="1"/>
  <c r="K28" i="3"/>
  <c r="K47" i="3" s="1"/>
  <c r="K74" i="3" s="1"/>
  <c r="J28" i="3"/>
  <c r="J54" i="3" s="1"/>
  <c r="E52" i="3"/>
  <c r="K54" i="3" l="1"/>
  <c r="J47" i="3"/>
  <c r="J74" i="3" s="1"/>
  <c r="E54" i="3"/>
  <c r="L64" i="3" s="1"/>
  <c r="J13" i="3" l="1"/>
  <c r="P13" i="3" s="1"/>
  <c r="J77" i="3"/>
  <c r="P55" i="3"/>
  <c r="Q55" i="3"/>
  <c r="K13" i="3"/>
  <c r="Q13" i="3" s="1"/>
  <c r="L77" i="3"/>
  <c r="K77" i="3"/>
  <c r="F15" i="3"/>
  <c r="F42" i="3"/>
  <c r="E42" i="3"/>
  <c r="C42" i="3"/>
  <c r="C43" i="3" s="1"/>
  <c r="D38" i="3" s="1"/>
  <c r="D43" i="3" s="1"/>
  <c r="E38" i="3" s="1"/>
  <c r="E43" i="3" l="1"/>
  <c r="F38" i="3" s="1"/>
  <c r="F43" i="3" s="1"/>
  <c r="E24" i="3"/>
  <c r="L65" i="3" s="1"/>
  <c r="F24" i="3"/>
  <c r="G38" i="3" l="1"/>
  <c r="G43" i="3" s="1"/>
  <c r="F28" i="3"/>
  <c r="M65" i="3"/>
  <c r="E28" i="3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F16" i="3" l="1"/>
  <c r="J66" i="3"/>
  <c r="D15" i="3"/>
  <c r="J64" i="3"/>
  <c r="J76" i="3"/>
  <c r="C28" i="3" l="1"/>
  <c r="F30" i="3" s="1"/>
  <c r="F26" i="3" l="1"/>
  <c r="J65" i="3"/>
  <c r="K66" i="3"/>
  <c r="K64" i="3"/>
  <c r="E15" i="3"/>
  <c r="K76" i="3" l="1"/>
  <c r="K65" i="3" l="1"/>
  <c r="D28" i="3"/>
  <c r="E29" i="3" l="1"/>
  <c r="D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PAT AFTER OCI</t>
        </r>
      </text>
    </comment>
  </commentList>
</comments>
</file>

<file path=xl/sharedStrings.xml><?xml version="1.0" encoding="utf-8"?>
<sst xmlns="http://schemas.openxmlformats.org/spreadsheetml/2006/main" count="237" uniqueCount="171">
  <si>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</si>
  <si>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</si>
  <si>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</si>
  <si>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</si>
  <si>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</si>
  <si>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</si>
  <si>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</si>
  <si>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</si>
  <si>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</si>
  <si>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</si>
  <si>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</si>
  <si>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</si>
  <si>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</si>
  <si>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</si>
  <si>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</si>
  <si>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</si>
  <si>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</si>
  <si>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</si>
  <si>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</si>
  <si>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</si>
  <si>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</si>
  <si>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</si>
  <si>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</si>
  <si>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</si>
  <si>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</si>
  <si>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</si>
  <si>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</si>
  <si>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</si>
  <si>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</si>
  <si>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</si>
  <si>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</si>
  <si>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</si>
  <si>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</si>
  <si>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</si>
  <si>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</si>
  <si>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</si>
  <si>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</si>
  <si>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</si>
  <si>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</si>
  <si>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</si>
  <si>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</si>
  <si>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</si>
  <si>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</si>
  <si>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</si>
  <si>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</si>
  <si>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</si>
  <si>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</si>
  <si>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</si>
  <si>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</si>
  <si>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</si>
  <si>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</si>
  <si>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</si>
  <si>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</si>
  <si>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</si>
  <si>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</si>
  <si>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</si>
  <si>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</si>
  <si>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</si>
  <si>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</si>
  <si>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</si>
  <si>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</si>
  <si>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</si>
  <si>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</si>
  <si>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</si>
  <si>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</si>
  <si>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</si>
  <si>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</si>
  <si>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</si>
  <si>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</si>
  <si>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</si>
  <si>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</si>
  <si>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</si>
  <si>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</si>
  <si>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</si>
  <si>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</si>
  <si>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</si>
  <si>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</si>
  <si>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</si>
  <si>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</si>
  <si>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</si>
  <si>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</si>
  <si>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</si>
  <si>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</si>
  <si>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</si>
  <si>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</si>
  <si>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</si>
  <si>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</si>
  <si>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</si>
  <si>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</si>
  <si>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</si>
  <si>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</si>
  <si>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</si>
  <si>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</si>
  <si>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</si>
  <si>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</si>
  <si>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</si>
  <si>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</si>
  <si>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</si>
  <si>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</si>
  <si>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</si>
  <si>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</si>
  <si>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</si>
  <si>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</si>
  <si>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</si>
  <si>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</si>
  <si>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</si>
  <si>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</si>
  <si>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</si>
  <si>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</si>
  <si>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</si>
  <si>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</si>
  <si>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</si>
  <si>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</si>
  <si>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</si>
  <si>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</si>
  <si>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</si>
  <si>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</si>
  <si>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</si>
  <si>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</si>
  <si>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</si>
  <si>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</si>
  <si>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</si>
  <si>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</si>
  <si>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</si>
  <si>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</si>
  <si>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</si>
  <si>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</si>
  <si>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</si>
  <si>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</si>
  <si>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</si>
  <si>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</si>
  <si>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</si>
  <si>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</si>
  <si>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</si>
  <si>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</si>
  <si>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</si>
  <si>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</si>
  <si>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</si>
  <si>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</si>
  <si>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</si>
  <si>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</si>
  <si>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</si>
  <si>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</si>
  <si>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</si>
  <si>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</si>
  <si>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</si>
  <si>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</si>
  <si>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</si>
  <si>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</si>
  <si>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</si>
  <si>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</si>
  <si>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</si>
  <si>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</si>
  <si>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</si>
  <si>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</si>
  <si>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</si>
  <si>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</si>
  <si>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</si>
  <si>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Global Surfaces Limited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</si>
  <si>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</si>
  <si>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</si>
  <si>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</si>
  <si>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</si>
  <si>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</si>
  <si>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</si>
  <si>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</si>
  <si>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(i) Investments</t>
  </si>
  <si>
    <t>9M-FY26</t>
  </si>
  <si>
    <t>H1-FY26</t>
  </si>
  <si>
    <t>31st Dec 2025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</si>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</sst>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0.0%"/>
    <numFmt numFmtId="167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7" fontId="0" fillId="0" borderId="5" xfId="1" applyNumberFormat="1" applyFont="1" applyFill="1" applyBorder="1"/>
    <xf numFmtId="167" fontId="0" fillId="0" borderId="5" xfId="1" applyNumberFormat="1" applyFont="1" applyBorder="1"/>
    <xf numFmtId="167" fontId="0" fillId="0" borderId="6" xfId="1" applyNumberFormat="1" applyFont="1" applyBorder="1"/>
    <xf numFmtId="0" fontId="0" fillId="0" borderId="5" xfId="0" applyBorder="1" applyAlignment="1">
      <alignment horizontal="right"/>
    </xf>
    <xf numFmtId="167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164" fontId="0" fillId="0" borderId="5" xfId="1" applyFont="1" applyBorder="1"/>
    <xf numFmtId="164" fontId="0" fillId="0" borderId="6" xfId="1" applyFont="1" applyBorder="1"/>
    <xf numFmtId="167" fontId="0" fillId="0" borderId="5" xfId="0" applyNumberFormat="1" applyBorder="1"/>
    <xf numFmtId="2" fontId="0" fillId="0" borderId="5" xfId="0" applyNumberFormat="1" applyBorder="1"/>
    <xf numFmtId="164" fontId="0" fillId="0" borderId="5" xfId="0" applyNumberFormat="1" applyBorder="1"/>
    <xf numFmtId="10" fontId="0" fillId="0" borderId="5" xfId="2" applyNumberFormat="1" applyFont="1" applyFill="1" applyBorder="1"/>
    <xf numFmtId="164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7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164" fontId="0" fillId="0" borderId="1" xfId="0" applyNumberForma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164" fontId="1" fillId="3" borderId="1" xfId="1" applyFont="1" applyFill="1" applyBorder="1"/>
    <xf numFmtId="164" fontId="7" fillId="5" borderId="1" xfId="1" applyFont="1" applyFill="1" applyBorder="1"/>
    <xf numFmtId="10" fontId="1" fillId="5" borderId="1" xfId="2" applyNumberFormat="1" applyFont="1" applyFill="1" applyBorder="1"/>
    <xf numFmtId="164" fontId="0" fillId="0" borderId="1" xfId="1" applyFont="1" applyBorder="1"/>
    <xf numFmtId="10" fontId="0" fillId="5" borderId="1" xfId="2" applyNumberFormat="1" applyFont="1" applyFill="1" applyBorder="1"/>
    <xf numFmtId="164" fontId="1" fillId="0" borderId="1" xfId="1" applyFont="1" applyBorder="1"/>
    <xf numFmtId="0" fontId="9" fillId="0" borderId="1" xfId="0" applyFont="1" applyBorder="1"/>
    <xf numFmtId="2" fontId="0" fillId="2" borderId="1" xfId="0" applyNumberFormat="1" applyFill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5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164" fontId="0" fillId="0" borderId="7" xfId="1" applyFont="1" applyBorder="1"/>
    <xf numFmtId="164" fontId="0" fillId="2" borderId="1" xfId="1" applyFont="1" applyFill="1" applyBorder="1"/>
    <xf numFmtId="167" fontId="10" fillId="0" borderId="7" xfId="1" applyNumberFormat="1" applyFont="1" applyBorder="1"/>
    <xf numFmtId="164" fontId="1" fillId="2" borderId="1" xfId="1" applyFont="1" applyFill="1" applyBorder="1"/>
    <xf numFmtId="164" fontId="0" fillId="0" borderId="0" xfId="0" applyNumberFormat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indent="1"/>
    </xf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1" applyFont="1" applyFill="1" applyBorder="1"/>
    <xf numFmtId="2" fontId="0" fillId="0" borderId="1" xfId="0" applyNumberFormat="1" applyBorder="1" applyAlignment="1">
      <alignment horizontal="right"/>
    </xf>
    <xf numFmtId="164" fontId="0" fillId="0" borderId="1" xfId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3" fontId="10" fillId="0" borderId="1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7"/>
  <sheetViews>
    <sheetView tabSelected="1" zoomScale="125" zoomScaleNormal="70" workbookViewId="0">
      <selection activeCell="H18" sqref="H18"/>
    </sheetView>
  </sheetViews>
  <sheetFormatPr baseColWidth="10" defaultColWidth="8.83203125" defaultRowHeight="15" x14ac:dyDescent="0.2"/>
  <cols>
    <col min="2" max="2" width="61.6640625" bestFit="1" customWidth="1"/>
    <col min="3" max="3" width="12.83203125" bestFit="1" customWidth="1"/>
    <col min="4" max="4" width="13" bestFit="1" customWidth="1"/>
    <col min="5" max="5" width="14" bestFit="1" customWidth="1"/>
    <col min="6" max="6" width="13" bestFit="1" customWidth="1"/>
    <col min="7" max="7" width="12.5" bestFit="1" customWidth="1"/>
    <col min="9" max="9" width="49.6640625" bestFit="1" customWidth="1"/>
    <col min="10" max="14" width="13.1640625" bestFit="1" customWidth="1"/>
  </cols>
  <sheetData>
    <row r="2" spans="2:19" ht="19" x14ac:dyDescent="0.25">
      <c r="B2" s="86" t="s">
        <v>158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9" x14ac:dyDescent="0.2">
      <c r="B3" s="81" t="s">
        <v>15</v>
      </c>
      <c r="C3" s="82"/>
      <c r="D3" s="82"/>
      <c r="E3" s="82"/>
      <c r="F3" s="82"/>
      <c r="G3" s="83"/>
      <c r="I3" s="84" t="s">
        <v>22</v>
      </c>
      <c r="J3" s="85"/>
      <c r="K3" s="85"/>
      <c r="L3" s="85"/>
      <c r="M3" s="85"/>
      <c r="N3" s="85"/>
    </row>
    <row r="4" spans="2:19" x14ac:dyDescent="0.2">
      <c r="B4" s="71" t="s">
        <v>157</v>
      </c>
      <c r="C4" s="72" t="s">
        <v>72</v>
      </c>
      <c r="D4" s="72" t="s">
        <v>124</v>
      </c>
      <c r="E4" s="72" t="s">
        <v>126</v>
      </c>
      <c r="F4" s="72" t="s">
        <v>127</v>
      </c>
      <c r="G4" s="72" t="s">
        <v>167</v>
      </c>
      <c r="I4" s="71" t="s">
        <v>157</v>
      </c>
      <c r="J4" s="72" t="s">
        <v>72</v>
      </c>
      <c r="K4" s="72" t="s">
        <v>124</v>
      </c>
      <c r="L4" s="72" t="s">
        <v>126</v>
      </c>
      <c r="M4" s="72" t="s">
        <v>127</v>
      </c>
      <c r="N4" s="72" t="s">
        <v>167</v>
      </c>
    </row>
    <row r="5" spans="2:19" x14ac:dyDescent="0.2">
      <c r="B5" s="38" t="s">
        <v>162</v>
      </c>
      <c r="C5" s="47">
        <v>1903.13</v>
      </c>
      <c r="D5" s="47">
        <v>1780.66</v>
      </c>
      <c r="E5" s="47">
        <v>2252.91</v>
      </c>
      <c r="F5" s="47">
        <v>2076.44</v>
      </c>
      <c r="G5" s="47">
        <v>1878.46</v>
      </c>
      <c r="I5" s="52" t="s">
        <v>16</v>
      </c>
      <c r="J5" s="47">
        <v>338.62</v>
      </c>
      <c r="K5" s="47">
        <v>423.82</v>
      </c>
      <c r="L5" s="47">
        <v>423.82</v>
      </c>
      <c r="M5" s="47">
        <v>423.82</v>
      </c>
      <c r="N5" s="47">
        <v>423.82</v>
      </c>
    </row>
    <row r="6" spans="2:19" x14ac:dyDescent="0.2">
      <c r="B6" s="35" t="s">
        <v>0</v>
      </c>
      <c r="C6" s="45">
        <v>0</v>
      </c>
      <c r="D6" s="42">
        <f>D5/C5-1</f>
        <v>-6.435188347616827E-2</v>
      </c>
      <c r="E6" s="42">
        <f>E5/D5-1</f>
        <v>0.2652106522300719</v>
      </c>
      <c r="F6" s="42">
        <f>F5/E5-1</f>
        <v>-7.8329804563875061E-2</v>
      </c>
      <c r="G6" s="42"/>
      <c r="I6" s="52" t="s">
        <v>138</v>
      </c>
      <c r="J6" s="47">
        <v>1001.72</v>
      </c>
      <c r="K6" s="47">
        <v>2189.48</v>
      </c>
      <c r="L6" s="47">
        <v>2881.25</v>
      </c>
      <c r="M6" s="47">
        <v>2599.58</v>
      </c>
      <c r="N6" s="47">
        <v>2540.27</v>
      </c>
    </row>
    <row r="7" spans="2:19" x14ac:dyDescent="0.2">
      <c r="B7" s="35" t="s">
        <v>1</v>
      </c>
      <c r="C7" s="45">
        <v>0</v>
      </c>
      <c r="D7" s="45">
        <v>0</v>
      </c>
      <c r="E7" s="45">
        <v>0</v>
      </c>
      <c r="F7" s="43">
        <f>+((F5/C5)^(1/3)-1)</f>
        <v>2.9477779260870252E-2</v>
      </c>
      <c r="G7" s="43"/>
      <c r="I7" s="53" t="s">
        <v>17</v>
      </c>
      <c r="J7" s="44">
        <f>J5+J6+J8</f>
        <v>1340.3400000000001</v>
      </c>
      <c r="K7" s="44">
        <f t="shared" ref="K7:M7" si="0">K5+K6+K8</f>
        <v>2613.3100000000004</v>
      </c>
      <c r="L7" s="44">
        <f t="shared" si="0"/>
        <v>3324.75</v>
      </c>
      <c r="M7" s="44">
        <f t="shared" si="0"/>
        <v>3039.89</v>
      </c>
      <c r="N7" s="44">
        <f t="shared" ref="N7" si="1">N5+N6+N8</f>
        <v>2980.8900000000003</v>
      </c>
    </row>
    <row r="8" spans="2:19" x14ac:dyDescent="0.2">
      <c r="B8" s="36" t="s">
        <v>2</v>
      </c>
      <c r="C8" s="44">
        <f>SUM(C9:C13)</f>
        <v>1485.09</v>
      </c>
      <c r="D8" s="44">
        <f>SUM(D9:D13)</f>
        <v>1425.51</v>
      </c>
      <c r="E8" s="44">
        <f>SUM(E9:E13)</f>
        <v>1903.25</v>
      </c>
      <c r="F8" s="44">
        <f>SUM(F9:F13)</f>
        <v>2057.15</v>
      </c>
      <c r="G8" s="44">
        <f>SUM(G9:G13)</f>
        <v>1802</v>
      </c>
      <c r="I8" s="52" t="s">
        <v>11</v>
      </c>
      <c r="J8" s="47">
        <v>0</v>
      </c>
      <c r="K8" s="47">
        <v>0.01</v>
      </c>
      <c r="L8" s="47">
        <v>19.68</v>
      </c>
      <c r="M8" s="47">
        <v>16.489999999999998</v>
      </c>
      <c r="N8" s="47">
        <v>16.8</v>
      </c>
    </row>
    <row r="9" spans="2:19" x14ac:dyDescent="0.2">
      <c r="B9" s="38" t="s">
        <v>128</v>
      </c>
      <c r="C9" s="47">
        <v>986.17</v>
      </c>
      <c r="D9" s="47">
        <v>852.63</v>
      </c>
      <c r="E9" s="47">
        <v>888.06</v>
      </c>
      <c r="F9" s="47">
        <v>1081.3900000000001</v>
      </c>
      <c r="G9" s="47">
        <v>966.35</v>
      </c>
      <c r="I9" s="52" t="s">
        <v>18</v>
      </c>
      <c r="J9" s="47">
        <v>107.93</v>
      </c>
      <c r="K9" s="47">
        <v>193.36</v>
      </c>
      <c r="L9" s="47">
        <v>524.54999999999995</v>
      </c>
      <c r="M9" s="47">
        <v>522.96</v>
      </c>
      <c r="N9" s="47">
        <v>499.82</v>
      </c>
    </row>
    <row r="10" spans="2:19" x14ac:dyDescent="0.2">
      <c r="B10" s="38" t="s">
        <v>130</v>
      </c>
      <c r="C10" s="47">
        <v>0</v>
      </c>
      <c r="D10" s="47">
        <v>0</v>
      </c>
      <c r="E10" s="38">
        <v>492.06</v>
      </c>
      <c r="F10" s="38">
        <v>51.15</v>
      </c>
      <c r="G10" s="38">
        <v>6.81</v>
      </c>
      <c r="I10" s="52" t="s">
        <v>19</v>
      </c>
      <c r="J10" s="47">
        <v>264.89</v>
      </c>
      <c r="K10" s="47">
        <v>1014.8</v>
      </c>
      <c r="L10" s="47">
        <v>458.75</v>
      </c>
      <c r="M10" s="47">
        <v>998.02</v>
      </c>
      <c r="N10" s="47">
        <v>1131.71</v>
      </c>
    </row>
    <row r="11" spans="2:19" x14ac:dyDescent="0.2">
      <c r="B11" s="38" t="s">
        <v>129</v>
      </c>
      <c r="C11" s="38">
        <v>-119.32</v>
      </c>
      <c r="D11" s="38">
        <v>-8.27</v>
      </c>
      <c r="E11" s="38">
        <v>-194.35</v>
      </c>
      <c r="F11" s="38">
        <v>-120.92</v>
      </c>
      <c r="G11" s="38">
        <v>-58.56</v>
      </c>
      <c r="I11" s="53" t="s">
        <v>20</v>
      </c>
      <c r="J11" s="44">
        <f>J9+J10</f>
        <v>372.82</v>
      </c>
      <c r="K11" s="44">
        <f>K9+K10</f>
        <v>1208.1599999999999</v>
      </c>
      <c r="L11" s="44">
        <f>L9+L10</f>
        <v>983.3</v>
      </c>
      <c r="M11" s="44">
        <f>M9+M10</f>
        <v>1520.98</v>
      </c>
      <c r="N11" s="44">
        <f>N9+N10</f>
        <v>1631.53</v>
      </c>
    </row>
    <row r="12" spans="2:19" x14ac:dyDescent="0.2">
      <c r="B12" s="38" t="s">
        <v>131</v>
      </c>
      <c r="C12" s="38">
        <v>149.30000000000001</v>
      </c>
      <c r="D12" s="38">
        <v>119.36</v>
      </c>
      <c r="E12" s="38">
        <v>154.06</v>
      </c>
      <c r="F12" s="38">
        <v>289.89</v>
      </c>
      <c r="G12" s="38">
        <v>248.18</v>
      </c>
      <c r="I12" s="53" t="s">
        <v>21</v>
      </c>
      <c r="J12" s="44">
        <f>+J7+J49</f>
        <v>1873.6000000000004</v>
      </c>
      <c r="K12" s="44">
        <f>+K7+K49</f>
        <v>3265.55</v>
      </c>
      <c r="L12" s="44">
        <f t="shared" ref="L12:M12" si="2">+L7+L49</f>
        <v>4315.96</v>
      </c>
      <c r="M12" s="44">
        <f t="shared" si="2"/>
        <v>4046.85</v>
      </c>
      <c r="N12" s="44">
        <f t="shared" ref="N12" si="3">+N7+N49</f>
        <v>3978.34</v>
      </c>
    </row>
    <row r="13" spans="2:19" x14ac:dyDescent="0.2">
      <c r="B13" s="38" t="s">
        <v>132</v>
      </c>
      <c r="C13" s="38">
        <v>468.94</v>
      </c>
      <c r="D13" s="38">
        <v>461.79</v>
      </c>
      <c r="E13" s="38">
        <v>563.41999999999996</v>
      </c>
      <c r="F13" s="38">
        <v>755.64</v>
      </c>
      <c r="G13" s="38">
        <v>639.22</v>
      </c>
      <c r="I13" s="53" t="s">
        <v>21</v>
      </c>
      <c r="J13" s="44">
        <f>+J54-J39</f>
        <v>1873.5999999999997</v>
      </c>
      <c r="K13" s="44">
        <f>+K54-K39</f>
        <v>3265.55</v>
      </c>
      <c r="L13" s="44">
        <f t="shared" ref="L13:M13" si="4">+L54-L39</f>
        <v>4315.96</v>
      </c>
      <c r="M13" s="44">
        <f t="shared" si="4"/>
        <v>4046.8500000000004</v>
      </c>
      <c r="N13" s="44">
        <f t="shared" ref="N13" si="5">+N54-N39</f>
        <v>3978.34</v>
      </c>
      <c r="P13" s="68">
        <f>J12-J13</f>
        <v>0</v>
      </c>
      <c r="Q13" s="68">
        <f t="shared" ref="Q13:S13" si="6">K12-K13</f>
        <v>0</v>
      </c>
      <c r="R13" s="68">
        <f t="shared" si="6"/>
        <v>0</v>
      </c>
      <c r="S13" s="68">
        <f t="shared" si="6"/>
        <v>0</v>
      </c>
    </row>
    <row r="14" spans="2:19" x14ac:dyDescent="0.2">
      <c r="B14" s="36" t="s">
        <v>3</v>
      </c>
      <c r="C14" s="44">
        <f>C5-C8</f>
        <v>418.04000000000019</v>
      </c>
      <c r="D14" s="44">
        <f>D5-D8</f>
        <v>355.15000000000009</v>
      </c>
      <c r="E14" s="44">
        <f>E5-E8</f>
        <v>349.65999999999985</v>
      </c>
      <c r="F14" s="44">
        <f>F5-F8</f>
        <v>19.289999999999964</v>
      </c>
      <c r="G14" s="44">
        <f>G5-G8</f>
        <v>76.460000000000036</v>
      </c>
      <c r="I14" s="38"/>
      <c r="J14" s="38"/>
      <c r="K14" s="38"/>
      <c r="L14" s="38"/>
      <c r="M14" s="38"/>
      <c r="N14" s="38"/>
    </row>
    <row r="15" spans="2:19" x14ac:dyDescent="0.2">
      <c r="B15" s="35" t="s">
        <v>0</v>
      </c>
      <c r="C15" s="45">
        <v>0</v>
      </c>
      <c r="D15" s="42">
        <f>D14/C14-1</f>
        <v>-0.15044014926801275</v>
      </c>
      <c r="E15" s="42">
        <f>E14/D14-1</f>
        <v>-1.5458257074476234E-2</v>
      </c>
      <c r="F15" s="42">
        <f>F14/E14-1</f>
        <v>-0.94483212263341543</v>
      </c>
      <c r="G15" s="42"/>
      <c r="I15" s="53" t="s">
        <v>23</v>
      </c>
      <c r="J15" s="44">
        <f>SUM(J16:J26)</f>
        <v>1202.8399999999999</v>
      </c>
      <c r="K15" s="44">
        <f>SUM(K16:K26)</f>
        <v>2464.9500000000003</v>
      </c>
      <c r="L15" s="44">
        <f>SUM(L16:L26)</f>
        <v>3216.38</v>
      </c>
      <c r="M15" s="44">
        <f>SUM(M16:M26)</f>
        <v>3154.7700000000004</v>
      </c>
      <c r="N15" s="44">
        <f>SUM(N16:N26)</f>
        <v>3168.5100000000007</v>
      </c>
    </row>
    <row r="16" spans="2:19" x14ac:dyDescent="0.2">
      <c r="B16" s="35" t="s">
        <v>1</v>
      </c>
      <c r="C16" s="45">
        <v>0</v>
      </c>
      <c r="D16" s="45">
        <v>0</v>
      </c>
      <c r="E16" s="45">
        <v>0</v>
      </c>
      <c r="F16" s="43">
        <f>+((F14/C14)^(1/3)-1)</f>
        <v>-0.64132195314044771</v>
      </c>
      <c r="G16" s="43"/>
      <c r="I16" s="52" t="s">
        <v>24</v>
      </c>
      <c r="J16" s="47">
        <v>385.12</v>
      </c>
      <c r="K16" s="47">
        <v>382.5</v>
      </c>
      <c r="L16" s="47">
        <v>2443.3200000000002</v>
      </c>
      <c r="M16" s="47">
        <v>2375.0700000000002</v>
      </c>
      <c r="N16" s="47">
        <v>2405.16</v>
      </c>
    </row>
    <row r="17" spans="2:18" x14ac:dyDescent="0.2">
      <c r="B17" s="54" t="s">
        <v>4</v>
      </c>
      <c r="C17" s="46">
        <f>C14/C5</f>
        <v>0.2196591930136145</v>
      </c>
      <c r="D17" s="46">
        <f>D14/D5</f>
        <v>0.19944851908842792</v>
      </c>
      <c r="E17" s="46">
        <f>E14/E5</f>
        <v>0.15520371430727364</v>
      </c>
      <c r="F17" s="46">
        <f>F14/F5</f>
        <v>9.2899385486698207E-3</v>
      </c>
      <c r="G17" s="46">
        <f>G14/G5</f>
        <v>4.0703555039766637E-2</v>
      </c>
      <c r="I17" s="52" t="s">
        <v>69</v>
      </c>
      <c r="J17" s="47">
        <v>70.75</v>
      </c>
      <c r="K17" s="47">
        <v>1236.83</v>
      </c>
      <c r="L17" s="47">
        <v>1.18</v>
      </c>
      <c r="M17" s="47">
        <v>0</v>
      </c>
      <c r="N17" s="47">
        <v>0.03</v>
      </c>
    </row>
    <row r="18" spans="2:18" x14ac:dyDescent="0.2">
      <c r="B18" s="38" t="s">
        <v>133</v>
      </c>
      <c r="C18" s="38">
        <v>80.44</v>
      </c>
      <c r="D18" s="38">
        <v>27.76</v>
      </c>
      <c r="E18" s="38">
        <v>37.17</v>
      </c>
      <c r="F18" s="38">
        <v>72.38</v>
      </c>
      <c r="G18" s="38">
        <v>118.38</v>
      </c>
      <c r="I18" s="52" t="s">
        <v>140</v>
      </c>
      <c r="J18" s="47">
        <v>496.48</v>
      </c>
      <c r="K18" s="47">
        <v>505.25</v>
      </c>
      <c r="L18" s="47">
        <v>496.42</v>
      </c>
      <c r="M18" s="47">
        <v>485.57</v>
      </c>
      <c r="N18" s="47">
        <v>486.88</v>
      </c>
    </row>
    <row r="19" spans="2:18" x14ac:dyDescent="0.2">
      <c r="B19" s="38" t="s">
        <v>134</v>
      </c>
      <c r="C19" s="38">
        <v>107.79</v>
      </c>
      <c r="D19" s="38">
        <v>94.31</v>
      </c>
      <c r="E19" s="38">
        <v>89.28</v>
      </c>
      <c r="F19" s="38">
        <v>186.56</v>
      </c>
      <c r="G19" s="38">
        <v>138.41</v>
      </c>
      <c r="I19" s="52" t="s">
        <v>141</v>
      </c>
      <c r="J19" s="47">
        <v>0.41</v>
      </c>
      <c r="K19" s="47">
        <v>0.25</v>
      </c>
      <c r="L19" s="47">
        <v>2.57</v>
      </c>
      <c r="M19" s="47">
        <v>1.93</v>
      </c>
      <c r="N19" s="47">
        <v>1.57</v>
      </c>
    </row>
    <row r="20" spans="2:18" x14ac:dyDescent="0.2">
      <c r="B20" s="38" t="s">
        <v>135</v>
      </c>
      <c r="C20" s="38">
        <v>29.63</v>
      </c>
      <c r="D20" s="69">
        <v>35.69</v>
      </c>
      <c r="E20" s="38">
        <v>45.03</v>
      </c>
      <c r="F20" s="38">
        <v>154.38999999999999</v>
      </c>
      <c r="G20" s="38">
        <v>112.1</v>
      </c>
      <c r="I20" s="70" t="s">
        <v>25</v>
      </c>
      <c r="J20" s="47"/>
      <c r="K20" s="47"/>
      <c r="L20" s="47"/>
      <c r="M20" s="47"/>
      <c r="N20" s="47"/>
    </row>
    <row r="21" spans="2:18" x14ac:dyDescent="0.2">
      <c r="B21" s="36" t="s">
        <v>6</v>
      </c>
      <c r="C21" s="44">
        <f>C14+C18-C19-C20</f>
        <v>361.06000000000017</v>
      </c>
      <c r="D21" s="44">
        <f>D14+D18-D19-D20</f>
        <v>252.91000000000008</v>
      </c>
      <c r="E21" s="44">
        <f>E14+E18-E19-E20</f>
        <v>252.51999999999984</v>
      </c>
      <c r="F21" s="44">
        <f>F14+F18-F19-F20</f>
        <v>-249.28000000000003</v>
      </c>
      <c r="G21" s="44">
        <f>G14+G18-G19-G20</f>
        <v>-55.669999999999959</v>
      </c>
      <c r="I21" s="52" t="s">
        <v>166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34"/>
    </row>
    <row r="22" spans="2:18" x14ac:dyDescent="0.2">
      <c r="B22" s="38" t="s">
        <v>7</v>
      </c>
      <c r="C22" s="47">
        <v>4.72</v>
      </c>
      <c r="D22" s="47">
        <v>10.57</v>
      </c>
      <c r="E22" s="47">
        <v>54.71</v>
      </c>
      <c r="F22" s="47">
        <v>39.72</v>
      </c>
      <c r="G22" s="47">
        <v>28.91</v>
      </c>
      <c r="I22" s="52" t="s">
        <v>142</v>
      </c>
      <c r="J22" s="47">
        <v>19.93</v>
      </c>
      <c r="K22" s="47">
        <v>0.3</v>
      </c>
      <c r="L22" s="47">
        <v>0.27</v>
      </c>
      <c r="M22" s="47">
        <v>0.06</v>
      </c>
      <c r="N22" s="47">
        <v>0</v>
      </c>
    </row>
    <row r="23" spans="2:18" x14ac:dyDescent="0.2">
      <c r="B23" s="35" t="s">
        <v>8</v>
      </c>
      <c r="C23" s="48">
        <f>C22/C21</f>
        <v>1.3072619509222836E-2</v>
      </c>
      <c r="D23" s="48">
        <f>D22/D21</f>
        <v>4.1793523387766388E-2</v>
      </c>
      <c r="E23" s="48">
        <f>E22/E21</f>
        <v>0.21665610644701425</v>
      </c>
      <c r="F23" s="48">
        <f>-F22/F21</f>
        <v>0.15933889602053913</v>
      </c>
      <c r="G23" s="48">
        <f>-G22/G21</f>
        <v>0.51931022094485402</v>
      </c>
      <c r="I23" s="52" t="s">
        <v>139</v>
      </c>
      <c r="J23" s="47">
        <v>18.43</v>
      </c>
      <c r="K23" s="47">
        <v>22.88</v>
      </c>
      <c r="L23" s="47">
        <v>26.75</v>
      </c>
      <c r="M23" s="47">
        <v>31.19</v>
      </c>
      <c r="N23" s="47">
        <v>32.049999999999997</v>
      </c>
      <c r="P23" s="34"/>
      <c r="Q23" s="34"/>
      <c r="R23" s="34"/>
    </row>
    <row r="24" spans="2:18" x14ac:dyDescent="0.2">
      <c r="B24" s="36" t="s">
        <v>9</v>
      </c>
      <c r="C24" s="44">
        <f>C21-C22</f>
        <v>356.34000000000015</v>
      </c>
      <c r="D24" s="44">
        <f>D21-D22</f>
        <v>242.34000000000009</v>
      </c>
      <c r="E24" s="44">
        <f t="shared" ref="E24:G24" si="7">E21-E22</f>
        <v>197.80999999999983</v>
      </c>
      <c r="F24" s="44">
        <f t="shared" si="7"/>
        <v>-289</v>
      </c>
      <c r="G24" s="44">
        <f t="shared" si="7"/>
        <v>-84.579999999999956</v>
      </c>
      <c r="I24" s="52" t="s">
        <v>143</v>
      </c>
      <c r="J24" s="47">
        <v>1.45</v>
      </c>
      <c r="K24" s="47">
        <v>20.32</v>
      </c>
      <c r="L24" s="47">
        <v>28.87</v>
      </c>
      <c r="M24" s="47">
        <v>44.94</v>
      </c>
      <c r="N24" s="47">
        <v>39.229999999999997</v>
      </c>
    </row>
    <row r="25" spans="2:18" x14ac:dyDescent="0.2">
      <c r="B25" s="54" t="s">
        <v>10</v>
      </c>
      <c r="C25" s="46">
        <f>C24/C5</f>
        <v>0.18723891694209019</v>
      </c>
      <c r="D25" s="46">
        <f>D24/D5</f>
        <v>0.13609560500039317</v>
      </c>
      <c r="E25" s="46">
        <f>E24/E5</f>
        <v>8.780199830441511E-2</v>
      </c>
      <c r="F25" s="46">
        <f>F24/F5</f>
        <v>-0.13918052050625107</v>
      </c>
      <c r="G25" s="46">
        <f>G24/G5</f>
        <v>-4.5026244902739453E-2</v>
      </c>
      <c r="I25" s="52" t="s">
        <v>144</v>
      </c>
      <c r="J25" s="47">
        <v>180.35</v>
      </c>
      <c r="K25" s="47">
        <v>216.7</v>
      </c>
      <c r="L25" s="47">
        <v>213.72</v>
      </c>
      <c r="M25" s="47">
        <v>198.94</v>
      </c>
      <c r="N25" s="47">
        <v>190.65</v>
      </c>
    </row>
    <row r="26" spans="2:18" x14ac:dyDescent="0.2">
      <c r="B26" s="35" t="s">
        <v>1</v>
      </c>
      <c r="C26" s="45">
        <v>0</v>
      </c>
      <c r="D26" s="45">
        <v>0</v>
      </c>
      <c r="E26" s="45">
        <v>0</v>
      </c>
      <c r="F26" s="43">
        <f>+((F24/C24)^(1/3)-1)</f>
        <v>-1.9325620876834657</v>
      </c>
      <c r="G26" s="43"/>
      <c r="I26" s="52" t="s">
        <v>145</v>
      </c>
      <c r="J26" s="47">
        <v>29.92</v>
      </c>
      <c r="K26" s="47">
        <v>79.92</v>
      </c>
      <c r="L26" s="47">
        <v>3.28</v>
      </c>
      <c r="M26" s="47">
        <v>17.07</v>
      </c>
      <c r="N26" s="47">
        <v>12.94</v>
      </c>
    </row>
    <row r="27" spans="2:18" x14ac:dyDescent="0.2">
      <c r="B27" s="38" t="s">
        <v>12</v>
      </c>
      <c r="C27" s="38">
        <v>0.92</v>
      </c>
      <c r="D27" s="38">
        <v>14.79</v>
      </c>
      <c r="E27" s="38">
        <v>6.11</v>
      </c>
      <c r="F27" s="38">
        <v>4.16</v>
      </c>
      <c r="G27" s="38">
        <v>-6.93</v>
      </c>
      <c r="I27" s="38"/>
      <c r="J27" s="38"/>
      <c r="K27" s="38"/>
      <c r="L27" s="38"/>
      <c r="M27" s="38"/>
      <c r="N27" s="38"/>
    </row>
    <row r="28" spans="2:18" x14ac:dyDescent="0.2">
      <c r="B28" s="36" t="s">
        <v>165</v>
      </c>
      <c r="C28" s="44">
        <f>C24+C27</f>
        <v>357.26000000000016</v>
      </c>
      <c r="D28" s="44">
        <f>D24+D27</f>
        <v>257.13000000000011</v>
      </c>
      <c r="E28" s="44">
        <f>E24+E27</f>
        <v>203.91999999999985</v>
      </c>
      <c r="F28" s="44">
        <f>F24+F27</f>
        <v>-284.83999999999997</v>
      </c>
      <c r="G28" s="44">
        <f>G24+G27</f>
        <v>-91.509999999999962</v>
      </c>
      <c r="I28" s="53" t="s">
        <v>26</v>
      </c>
      <c r="J28" s="44">
        <f>SUM(J29:J37)</f>
        <v>1161.98</v>
      </c>
      <c r="K28" s="44">
        <f t="shared" ref="K28" si="8">SUM(K29:K37)</f>
        <v>2155.6400000000003</v>
      </c>
      <c r="L28" s="44">
        <f>SUM(L29:L37)</f>
        <v>2001.5499999999997</v>
      </c>
      <c r="M28" s="44">
        <f>SUM(M29:M37)</f>
        <v>2420.6099999999997</v>
      </c>
      <c r="N28" s="44">
        <f>SUM(N29:N37)</f>
        <v>2559.7399999999998</v>
      </c>
    </row>
    <row r="29" spans="2:18" x14ac:dyDescent="0.2">
      <c r="B29" s="35" t="s">
        <v>0</v>
      </c>
      <c r="C29" s="45">
        <v>0</v>
      </c>
      <c r="D29" s="42">
        <f>D28/C28-1</f>
        <v>-0.28027207076079053</v>
      </c>
      <c r="E29" s="42">
        <f>E28/D28-1</f>
        <v>-0.20693812468401296</v>
      </c>
      <c r="F29" s="42">
        <f>F28/E28-1</f>
        <v>-2.3968222832483335</v>
      </c>
      <c r="G29" s="42"/>
      <c r="I29" s="52" t="s">
        <v>27</v>
      </c>
      <c r="J29" s="47">
        <v>469.14</v>
      </c>
      <c r="K29" s="47">
        <v>439.58</v>
      </c>
      <c r="L29" s="47">
        <v>767.55</v>
      </c>
      <c r="M29" s="47">
        <v>947.55</v>
      </c>
      <c r="N29" s="47">
        <v>949.84</v>
      </c>
    </row>
    <row r="30" spans="2:18" x14ac:dyDescent="0.2">
      <c r="B30" s="35" t="s">
        <v>1</v>
      </c>
      <c r="C30" s="45">
        <v>0</v>
      </c>
      <c r="D30" s="45">
        <v>0</v>
      </c>
      <c r="E30" s="45">
        <v>0</v>
      </c>
      <c r="F30" s="43">
        <f>+((F28/C28)^(1/3)-1)</f>
        <v>-1.9272685448548788</v>
      </c>
      <c r="G30" s="43"/>
      <c r="I30" s="70" t="s">
        <v>25</v>
      </c>
      <c r="J30" s="47"/>
      <c r="K30" s="47"/>
      <c r="L30" s="47"/>
      <c r="M30" s="47"/>
      <c r="N30" s="47"/>
    </row>
    <row r="31" spans="2:18" x14ac:dyDescent="0.2">
      <c r="B31" s="55" t="s">
        <v>13</v>
      </c>
      <c r="C31" s="49"/>
      <c r="D31" s="49"/>
      <c r="E31" s="49"/>
      <c r="F31" s="49"/>
      <c r="G31" s="49"/>
      <c r="I31" s="52" t="s">
        <v>121</v>
      </c>
      <c r="J31" s="47">
        <v>106.63</v>
      </c>
      <c r="K31" s="47">
        <v>57.19</v>
      </c>
      <c r="L31" s="47">
        <v>1.54</v>
      </c>
      <c r="M31" s="47">
        <v>1.71</v>
      </c>
      <c r="N31" s="47">
        <v>1.76</v>
      </c>
    </row>
    <row r="32" spans="2:18" x14ac:dyDescent="0.2">
      <c r="B32" s="38" t="s">
        <v>136</v>
      </c>
      <c r="C32" s="47">
        <v>10.52</v>
      </c>
      <c r="D32" s="47">
        <v>7.1</v>
      </c>
      <c r="E32" s="47">
        <v>4.41</v>
      </c>
      <c r="F32" s="47">
        <v>-6.73</v>
      </c>
      <c r="G32" s="47">
        <v>-1.91</v>
      </c>
      <c r="I32" s="56" t="s">
        <v>28</v>
      </c>
      <c r="J32" s="47">
        <v>389.78</v>
      </c>
      <c r="K32" s="47">
        <v>439.96</v>
      </c>
      <c r="L32" s="47">
        <v>1098.55</v>
      </c>
      <c r="M32" s="47">
        <v>1276.9000000000001</v>
      </c>
      <c r="N32" s="47">
        <v>1294.58</v>
      </c>
    </row>
    <row r="33" spans="2:18" x14ac:dyDescent="0.2">
      <c r="B33" s="38" t="s">
        <v>137</v>
      </c>
      <c r="C33" s="47">
        <v>10.52</v>
      </c>
      <c r="D33" s="47">
        <v>7.1</v>
      </c>
      <c r="E33" s="47">
        <v>4.41</v>
      </c>
      <c r="F33" s="47">
        <v>-6.73</v>
      </c>
      <c r="G33" s="47">
        <v>-1.91</v>
      </c>
      <c r="I33" s="56" t="s">
        <v>29</v>
      </c>
      <c r="J33" s="47">
        <v>20.34</v>
      </c>
      <c r="K33" s="47">
        <v>65.02</v>
      </c>
      <c r="L33" s="47">
        <v>25.87</v>
      </c>
      <c r="M33" s="47">
        <v>27.77</v>
      </c>
      <c r="N33" s="47">
        <v>48.24</v>
      </c>
    </row>
    <row r="34" spans="2:18" x14ac:dyDescent="0.2">
      <c r="B34" s="39" t="s">
        <v>0</v>
      </c>
      <c r="C34" s="45">
        <v>0</v>
      </c>
      <c r="D34" s="42">
        <f>D33/C33-1</f>
        <v>-0.32509505703422059</v>
      </c>
      <c r="E34" s="42">
        <f>E33/D33-1</f>
        <v>-0.37887323943661966</v>
      </c>
      <c r="F34" s="42">
        <f>F33/E33-1</f>
        <v>-2.5260770975056692</v>
      </c>
      <c r="G34" s="42"/>
      <c r="I34" s="56" t="s">
        <v>30</v>
      </c>
      <c r="J34" s="47">
        <v>5.93</v>
      </c>
      <c r="K34" s="47">
        <v>1070.8</v>
      </c>
      <c r="L34" s="47">
        <v>28.52</v>
      </c>
      <c r="M34" s="47">
        <v>44.13</v>
      </c>
      <c r="N34" s="47">
        <v>58.84</v>
      </c>
    </row>
    <row r="35" spans="2:18" x14ac:dyDescent="0.2">
      <c r="B35" s="39" t="s">
        <v>1</v>
      </c>
      <c r="C35" s="45">
        <v>0</v>
      </c>
      <c r="D35" s="45">
        <v>0</v>
      </c>
      <c r="E35" s="45">
        <v>0</v>
      </c>
      <c r="F35" s="43">
        <f>+((F33/C33)^(1/3)-1)</f>
        <v>-1.861654396181317</v>
      </c>
      <c r="G35" s="43"/>
      <c r="I35" s="56" t="s">
        <v>31</v>
      </c>
      <c r="J35" s="47">
        <v>92.31</v>
      </c>
      <c r="K35" s="47">
        <v>18.88</v>
      </c>
      <c r="L35" s="47">
        <v>1.1499999999999999</v>
      </c>
      <c r="M35" s="47">
        <v>7.62</v>
      </c>
      <c r="N35" s="47">
        <v>7.6</v>
      </c>
    </row>
    <row r="36" spans="2:18" x14ac:dyDescent="0.2">
      <c r="I36" s="52" t="s">
        <v>122</v>
      </c>
      <c r="J36" s="47">
        <v>6.39</v>
      </c>
      <c r="K36" s="47">
        <v>20.420000000000002</v>
      </c>
      <c r="L36" s="47">
        <v>18.11</v>
      </c>
      <c r="M36" s="47">
        <v>7.7</v>
      </c>
      <c r="N36" s="47">
        <v>6.81</v>
      </c>
    </row>
    <row r="37" spans="2:18" x14ac:dyDescent="0.2">
      <c r="B37" s="73" t="s">
        <v>159</v>
      </c>
      <c r="C37" s="72" t="s">
        <v>72</v>
      </c>
      <c r="D37" s="72" t="s">
        <v>124</v>
      </c>
      <c r="E37" s="72" t="s">
        <v>126</v>
      </c>
      <c r="F37" s="72" t="s">
        <v>127</v>
      </c>
      <c r="G37" s="72" t="s">
        <v>168</v>
      </c>
      <c r="I37" s="52" t="s">
        <v>32</v>
      </c>
      <c r="J37" s="47">
        <v>71.459999999999994</v>
      </c>
      <c r="K37" s="47">
        <v>43.79</v>
      </c>
      <c r="L37" s="47">
        <v>60.26</v>
      </c>
      <c r="M37" s="47">
        <v>107.23</v>
      </c>
      <c r="N37" s="47">
        <v>192.07</v>
      </c>
    </row>
    <row r="38" spans="2:18" x14ac:dyDescent="0.2">
      <c r="B38" s="57" t="s">
        <v>55</v>
      </c>
      <c r="C38" s="64">
        <v>54.44</v>
      </c>
      <c r="D38" s="64">
        <f>C43</f>
        <v>20.339999999999968</v>
      </c>
      <c r="E38" s="64">
        <f>D43</f>
        <v>65.019999999999811</v>
      </c>
      <c r="F38" s="64">
        <f>E43</f>
        <v>25.879999999999825</v>
      </c>
      <c r="G38" s="64">
        <f>F43</f>
        <v>27.779999999999802</v>
      </c>
      <c r="I38" s="38"/>
      <c r="J38" s="38"/>
      <c r="K38" s="38"/>
      <c r="L38" s="38"/>
      <c r="M38" s="38"/>
      <c r="N38" s="38"/>
      <c r="O38" s="34"/>
    </row>
    <row r="39" spans="2:18" x14ac:dyDescent="0.2">
      <c r="B39" s="38" t="s">
        <v>56</v>
      </c>
      <c r="C39" s="47">
        <v>281.89999999999998</v>
      </c>
      <c r="D39" s="47">
        <v>270.26</v>
      </c>
      <c r="E39" s="47">
        <v>-372.52</v>
      </c>
      <c r="F39" s="47">
        <v>-312.25</v>
      </c>
      <c r="G39" s="47">
        <v>90.19</v>
      </c>
      <c r="I39" s="53" t="s">
        <v>33</v>
      </c>
      <c r="J39" s="44">
        <f>SUM(J40:J46)</f>
        <v>491.22000000000008</v>
      </c>
      <c r="K39" s="44">
        <f t="shared" ref="K39" si="9">SUM(K40:K46)</f>
        <v>1355.04</v>
      </c>
      <c r="L39" s="44">
        <f>SUM(L40:L46)</f>
        <v>901.96999999999991</v>
      </c>
      <c r="M39" s="44">
        <f>SUM(M40:M46)</f>
        <v>1528.53</v>
      </c>
      <c r="N39" s="44">
        <f>SUM(N40:N46)</f>
        <v>1749.9099999999999</v>
      </c>
    </row>
    <row r="40" spans="2:18" x14ac:dyDescent="0.2">
      <c r="B40" s="38" t="s">
        <v>57</v>
      </c>
      <c r="C40" s="47">
        <v>-281.37</v>
      </c>
      <c r="D40" s="47">
        <v>-2052.5700000000002</v>
      </c>
      <c r="E40" s="47">
        <v>90.27</v>
      </c>
      <c r="F40" s="47">
        <v>-59.92</v>
      </c>
      <c r="G40" s="47">
        <v>-44.47</v>
      </c>
      <c r="I40" s="70" t="s">
        <v>146</v>
      </c>
      <c r="J40" s="47"/>
      <c r="K40" s="47"/>
      <c r="L40" s="47"/>
      <c r="M40" s="47"/>
      <c r="N40" s="47"/>
      <c r="P40" s="34"/>
      <c r="Q40" s="34"/>
      <c r="R40" s="34"/>
    </row>
    <row r="41" spans="2:18" x14ac:dyDescent="0.2">
      <c r="B41" s="38" t="s">
        <v>58</v>
      </c>
      <c r="C41" s="47">
        <v>-34.630000000000003</v>
      </c>
      <c r="D41" s="47">
        <v>1826.99</v>
      </c>
      <c r="E41" s="47">
        <v>243.11</v>
      </c>
      <c r="F41" s="47">
        <v>374.07</v>
      </c>
      <c r="G41" s="47">
        <v>-25.25</v>
      </c>
      <c r="I41" s="52" t="s">
        <v>147</v>
      </c>
      <c r="J41" s="47">
        <v>264.89</v>
      </c>
      <c r="K41" s="47">
        <v>1014.8</v>
      </c>
      <c r="L41" s="47">
        <v>458.75</v>
      </c>
      <c r="M41" s="47">
        <v>998.02</v>
      </c>
      <c r="N41" s="47">
        <v>1131.71</v>
      </c>
    </row>
    <row r="42" spans="2:18" x14ac:dyDescent="0.2">
      <c r="B42" s="63" t="s">
        <v>59</v>
      </c>
      <c r="C42" s="67">
        <f>C39+C40+C41</f>
        <v>-34.10000000000003</v>
      </c>
      <c r="D42" s="67">
        <f>D39+D40+D41</f>
        <v>44.679999999999836</v>
      </c>
      <c r="E42" s="67">
        <f t="shared" ref="E42:F42" si="10">E39+E40+E41</f>
        <v>-39.139999999999986</v>
      </c>
      <c r="F42" s="67">
        <f t="shared" si="10"/>
        <v>1.8999999999999773</v>
      </c>
      <c r="G42" s="67">
        <f>G39+G40+G41</f>
        <v>20.47</v>
      </c>
      <c r="I42" s="52" t="s">
        <v>148</v>
      </c>
      <c r="J42" s="47">
        <f>105.77+81.72</f>
        <v>187.49</v>
      </c>
      <c r="K42" s="47">
        <v>161.9</v>
      </c>
      <c r="L42" s="47">
        <v>386.62</v>
      </c>
      <c r="M42" s="47">
        <f>58.98+402.46</f>
        <v>461.44</v>
      </c>
      <c r="N42" s="47">
        <f>28.89+488.76</f>
        <v>517.65</v>
      </c>
    </row>
    <row r="43" spans="2:18" x14ac:dyDescent="0.2">
      <c r="B43" s="36" t="s">
        <v>60</v>
      </c>
      <c r="C43" s="44">
        <f>C38+C42</f>
        <v>20.339999999999968</v>
      </c>
      <c r="D43" s="44">
        <f>D38+D42</f>
        <v>65.019999999999811</v>
      </c>
      <c r="E43" s="44">
        <f>E38+E42</f>
        <v>25.879999999999825</v>
      </c>
      <c r="F43" s="44">
        <f>F38+F42</f>
        <v>27.779999999999802</v>
      </c>
      <c r="G43" s="44">
        <f>G38+G42</f>
        <v>48.249999999999801</v>
      </c>
      <c r="I43" s="52" t="s">
        <v>149</v>
      </c>
      <c r="J43" s="47">
        <v>16.16</v>
      </c>
      <c r="K43" s="47">
        <v>149.80000000000001</v>
      </c>
      <c r="L43" s="47">
        <v>37.53</v>
      </c>
      <c r="M43" s="47">
        <v>33.32</v>
      </c>
      <c r="N43" s="47">
        <v>36.31</v>
      </c>
    </row>
    <row r="44" spans="2:18" x14ac:dyDescent="0.2">
      <c r="B44" s="73" t="s">
        <v>156</v>
      </c>
      <c r="C44" s="72" t="s">
        <v>72</v>
      </c>
      <c r="D44" s="72" t="s">
        <v>124</v>
      </c>
      <c r="E44" s="72" t="s">
        <v>126</v>
      </c>
      <c r="F44" s="72" t="s">
        <v>127</v>
      </c>
      <c r="G44" s="72" t="s">
        <v>168</v>
      </c>
      <c r="I44" s="52" t="s">
        <v>150</v>
      </c>
      <c r="J44" s="47">
        <v>10.16</v>
      </c>
      <c r="K44" s="47">
        <v>1.03</v>
      </c>
      <c r="L44" s="47">
        <v>6.48</v>
      </c>
      <c r="M44" s="47">
        <v>4.0599999999999996</v>
      </c>
      <c r="N44" s="47">
        <v>11.35</v>
      </c>
    </row>
    <row r="45" spans="2:18" x14ac:dyDescent="0.2">
      <c r="B45" s="50" t="s">
        <v>61</v>
      </c>
      <c r="C45" s="47">
        <f>C39</f>
        <v>281.89999999999998</v>
      </c>
      <c r="D45" s="47">
        <f>D39</f>
        <v>270.26</v>
      </c>
      <c r="E45" s="47">
        <f>E39</f>
        <v>-372.52</v>
      </c>
      <c r="F45" s="41">
        <f>F39</f>
        <v>-312.25</v>
      </c>
      <c r="G45" s="41">
        <f>G39</f>
        <v>90.19</v>
      </c>
      <c r="I45" s="52" t="s">
        <v>70</v>
      </c>
      <c r="J45" s="47">
        <v>0.42</v>
      </c>
      <c r="K45" s="47">
        <v>1.47</v>
      </c>
      <c r="L45" s="47">
        <v>0.8</v>
      </c>
      <c r="M45" s="47">
        <v>3.46</v>
      </c>
      <c r="N45" s="47">
        <v>3.55</v>
      </c>
      <c r="O45" s="34"/>
    </row>
    <row r="46" spans="2:18" x14ac:dyDescent="0.2">
      <c r="B46" s="50" t="s">
        <v>62</v>
      </c>
      <c r="C46" s="47">
        <f>-121.07+22.78</f>
        <v>-98.289999999999992</v>
      </c>
      <c r="D46" s="47">
        <v>-1144.45</v>
      </c>
      <c r="E46" s="47">
        <v>-1035.22</v>
      </c>
      <c r="F46" s="38">
        <f>-46.74+8.55</f>
        <v>-38.19</v>
      </c>
      <c r="G46" s="38">
        <f>-31.06+1.1</f>
        <v>-29.959999999999997</v>
      </c>
      <c r="I46" s="52" t="s">
        <v>151</v>
      </c>
      <c r="J46" s="47">
        <v>12.1</v>
      </c>
      <c r="K46" s="47">
        <v>26.04</v>
      </c>
      <c r="L46" s="47">
        <v>11.79</v>
      </c>
      <c r="M46" s="47">
        <v>28.23</v>
      </c>
      <c r="N46" s="47">
        <v>49.34</v>
      </c>
    </row>
    <row r="47" spans="2:18" x14ac:dyDescent="0.2">
      <c r="B47" s="62" t="s">
        <v>155</v>
      </c>
      <c r="C47" s="44">
        <f>C45+C46</f>
        <v>183.60999999999999</v>
      </c>
      <c r="D47" s="44">
        <f t="shared" ref="D47:F47" si="11">D45+D46</f>
        <v>-874.19</v>
      </c>
      <c r="E47" s="44">
        <f t="shared" si="11"/>
        <v>-1407.74</v>
      </c>
      <c r="F47" s="44">
        <f t="shared" si="11"/>
        <v>-350.44</v>
      </c>
      <c r="G47" s="44">
        <f t="shared" ref="G47" si="12">G45+G46</f>
        <v>60.230000000000004</v>
      </c>
      <c r="I47" s="53" t="s">
        <v>34</v>
      </c>
      <c r="J47" s="44">
        <f>J28-J39</f>
        <v>670.76</v>
      </c>
      <c r="K47" s="44">
        <f>K28-K39</f>
        <v>800.60000000000036</v>
      </c>
      <c r="L47" s="44">
        <f>L28-L39</f>
        <v>1099.58</v>
      </c>
      <c r="M47" s="44">
        <f>M28-M39</f>
        <v>892.0799999999997</v>
      </c>
      <c r="N47" s="44">
        <f>N28-N39</f>
        <v>809.82999999999993</v>
      </c>
      <c r="P47" s="34"/>
      <c r="Q47" s="34"/>
      <c r="R47" s="34"/>
    </row>
    <row r="48" spans="2:18" x14ac:dyDescent="0.2">
      <c r="I48" s="38"/>
      <c r="J48" s="38"/>
      <c r="K48" s="38"/>
      <c r="L48" s="38"/>
      <c r="M48" s="38"/>
      <c r="N48" s="38"/>
    </row>
    <row r="49" spans="2:19" x14ac:dyDescent="0.2">
      <c r="B49" s="73" t="s">
        <v>161</v>
      </c>
      <c r="C49" s="72" t="s">
        <v>72</v>
      </c>
      <c r="D49" s="72" t="s">
        <v>124</v>
      </c>
      <c r="E49" s="72" t="s">
        <v>126</v>
      </c>
      <c r="F49" s="72" t="s">
        <v>127</v>
      </c>
      <c r="G49" s="72" t="s">
        <v>167</v>
      </c>
      <c r="I49" s="53" t="s">
        <v>123</v>
      </c>
      <c r="J49" s="44">
        <f>SUM(J51:J53)</f>
        <v>533.2600000000001</v>
      </c>
      <c r="K49" s="44">
        <f>SUM(K51:K53)</f>
        <v>652.24</v>
      </c>
      <c r="L49" s="44">
        <f>SUM(L51:L53)</f>
        <v>991.20999999999992</v>
      </c>
      <c r="M49" s="44">
        <f>SUM(M51:M53)</f>
        <v>1006.9599999999999</v>
      </c>
      <c r="N49" s="44">
        <f>SUM(N51:N53)</f>
        <v>997.45</v>
      </c>
    </row>
    <row r="50" spans="2:19" x14ac:dyDescent="0.2">
      <c r="B50" s="28" t="s">
        <v>64</v>
      </c>
      <c r="C50" s="64">
        <v>0</v>
      </c>
      <c r="D50" s="66">
        <v>42381818</v>
      </c>
      <c r="E50" s="66">
        <v>42381818</v>
      </c>
      <c r="F50" s="80">
        <v>42381818</v>
      </c>
      <c r="G50" s="80">
        <v>42381818</v>
      </c>
      <c r="I50" s="70" t="s">
        <v>152</v>
      </c>
      <c r="J50" s="47"/>
      <c r="K50" s="47"/>
      <c r="L50" s="47"/>
      <c r="M50" s="47"/>
      <c r="N50" s="47"/>
    </row>
    <row r="51" spans="2:19" x14ac:dyDescent="0.2">
      <c r="B51" s="58" t="s">
        <v>125</v>
      </c>
      <c r="C51" s="65">
        <f>C50*J58/1000000</f>
        <v>0</v>
      </c>
      <c r="D51" s="65">
        <f>D50*K58/1000000</f>
        <v>6969.6899700999993</v>
      </c>
      <c r="E51" s="65">
        <f>E50*L58/1000000</f>
        <v>9766.8899581000005</v>
      </c>
      <c r="F51" s="65">
        <f>F50*M58/1000000</f>
        <v>4569.1837985800003</v>
      </c>
      <c r="G51" s="76">
        <f>G50*N58/1000000</f>
        <v>4195.7999820000005</v>
      </c>
      <c r="I51" s="52" t="s">
        <v>153</v>
      </c>
      <c r="J51" s="47">
        <v>107.93</v>
      </c>
      <c r="K51" s="47">
        <v>193.36</v>
      </c>
      <c r="L51" s="47">
        <v>524.54999999999995</v>
      </c>
      <c r="M51" s="47">
        <v>522.96</v>
      </c>
      <c r="N51" s="47">
        <v>499.82</v>
      </c>
    </row>
    <row r="52" spans="2:19" x14ac:dyDescent="0.2">
      <c r="B52" s="38" t="s">
        <v>66</v>
      </c>
      <c r="C52" s="47">
        <f>J11</f>
        <v>372.82</v>
      </c>
      <c r="D52" s="47">
        <f>K11</f>
        <v>1208.1599999999999</v>
      </c>
      <c r="E52" s="47">
        <f>L11</f>
        <v>983.3</v>
      </c>
      <c r="F52" s="47">
        <f>M11</f>
        <v>1520.98</v>
      </c>
      <c r="G52" s="76">
        <f>N11</f>
        <v>1631.53</v>
      </c>
      <c r="I52" s="52" t="s">
        <v>154</v>
      </c>
      <c r="J52" s="47">
        <v>421.5</v>
      </c>
      <c r="K52" s="47">
        <v>453.82</v>
      </c>
      <c r="L52" s="47">
        <v>463</v>
      </c>
      <c r="M52" s="47">
        <v>473.57</v>
      </c>
      <c r="N52" s="47">
        <v>485.81</v>
      </c>
    </row>
    <row r="53" spans="2:19" x14ac:dyDescent="0.2">
      <c r="B53" s="38" t="s">
        <v>67</v>
      </c>
      <c r="C53" s="47">
        <f>SUM(J33:J34)</f>
        <v>26.27</v>
      </c>
      <c r="D53" s="47">
        <f>SUM(K33:K34)</f>
        <v>1135.82</v>
      </c>
      <c r="E53" s="47">
        <f>SUM(L33:L34)</f>
        <v>54.39</v>
      </c>
      <c r="F53" s="47">
        <f>SUM(M33:M34)</f>
        <v>71.900000000000006</v>
      </c>
      <c r="G53" s="76">
        <f>SUM(N33:N34)</f>
        <v>107.08000000000001</v>
      </c>
      <c r="I53" s="52" t="s">
        <v>70</v>
      </c>
      <c r="J53" s="47">
        <v>3.83</v>
      </c>
      <c r="K53" s="47">
        <v>5.0599999999999996</v>
      </c>
      <c r="L53" s="47">
        <v>3.66</v>
      </c>
      <c r="M53" s="47">
        <v>10.43</v>
      </c>
      <c r="N53" s="47">
        <v>11.82</v>
      </c>
    </row>
    <row r="54" spans="2:19" x14ac:dyDescent="0.2">
      <c r="B54" s="58" t="s">
        <v>68</v>
      </c>
      <c r="C54" s="47">
        <v>0</v>
      </c>
      <c r="D54" s="47">
        <f>D51+D52-D53</f>
        <v>7042.0299700999994</v>
      </c>
      <c r="E54" s="47">
        <f t="shared" ref="E54" si="13">E51+E52-E53</f>
        <v>10695.7999581</v>
      </c>
      <c r="F54" s="47">
        <f>F51+F52-F53</f>
        <v>6018.2637985800011</v>
      </c>
      <c r="G54" s="76">
        <f>G51+G52-G53</f>
        <v>5720.2499820000003</v>
      </c>
      <c r="I54" s="53" t="s">
        <v>35</v>
      </c>
      <c r="J54" s="44">
        <f>J28+J15</f>
        <v>2364.8199999999997</v>
      </c>
      <c r="K54" s="44">
        <f>K28+K15</f>
        <v>4620.59</v>
      </c>
      <c r="L54" s="44">
        <f>L28+L15</f>
        <v>5217.93</v>
      </c>
      <c r="M54" s="44">
        <f>M28+M15</f>
        <v>5575.38</v>
      </c>
      <c r="N54" s="44">
        <f>N28+N15</f>
        <v>5728.25</v>
      </c>
    </row>
    <row r="55" spans="2:19" x14ac:dyDescent="0.2">
      <c r="I55" s="53" t="s">
        <v>163</v>
      </c>
      <c r="J55" s="44">
        <f>J39+J49+J7</f>
        <v>2364.8200000000006</v>
      </c>
      <c r="K55" s="44">
        <f t="shared" ref="K55:M55" si="14">K39+K49+K7</f>
        <v>4620.59</v>
      </c>
      <c r="L55" s="44">
        <f t="shared" si="14"/>
        <v>5217.93</v>
      </c>
      <c r="M55" s="44">
        <f t="shared" si="14"/>
        <v>5575.3799999999992</v>
      </c>
      <c r="N55" s="44">
        <f t="shared" ref="N55" si="15">N39+N49+N7</f>
        <v>5728.25</v>
      </c>
      <c r="P55" s="68">
        <f>J54-J55</f>
        <v>0</v>
      </c>
      <c r="Q55" s="68">
        <f t="shared" ref="Q55:S55" si="16">K54-K55</f>
        <v>0</v>
      </c>
      <c r="R55" s="68">
        <f t="shared" si="16"/>
        <v>0</v>
      </c>
      <c r="S55" s="68">
        <f t="shared" si="16"/>
        <v>0</v>
      </c>
    </row>
    <row r="57" spans="2:19" x14ac:dyDescent="0.2">
      <c r="I57" s="71" t="s">
        <v>160</v>
      </c>
      <c r="J57" s="72" t="s">
        <v>72</v>
      </c>
      <c r="K57" s="72" t="s">
        <v>124</v>
      </c>
      <c r="L57" s="72" t="s">
        <v>126</v>
      </c>
      <c r="M57" s="72" t="s">
        <v>127</v>
      </c>
      <c r="N57" s="72" t="s">
        <v>167</v>
      </c>
    </row>
    <row r="58" spans="2:19" x14ac:dyDescent="0.2">
      <c r="I58" s="59" t="s">
        <v>36</v>
      </c>
      <c r="J58" s="47">
        <v>0</v>
      </c>
      <c r="K58" s="38">
        <v>164.45</v>
      </c>
      <c r="L58" s="38">
        <v>230.45</v>
      </c>
      <c r="M58" s="38">
        <v>107.81</v>
      </c>
      <c r="N58" s="74">
        <v>99</v>
      </c>
      <c r="O58" s="34" t="s">
        <v>169</v>
      </c>
    </row>
    <row r="59" spans="2:19" x14ac:dyDescent="0.2">
      <c r="I59" s="59" t="s">
        <v>37</v>
      </c>
      <c r="J59" s="41">
        <f>C33</f>
        <v>10.52</v>
      </c>
      <c r="K59" s="41">
        <f>D33</f>
        <v>7.1</v>
      </c>
      <c r="L59" s="41">
        <f>E33</f>
        <v>4.41</v>
      </c>
      <c r="M59" s="41">
        <f>F33</f>
        <v>-6.73</v>
      </c>
      <c r="N59" s="75">
        <f>M59+G33-(-4.26)</f>
        <v>-4.3800000000000008</v>
      </c>
      <c r="O59" t="s">
        <v>170</v>
      </c>
    </row>
    <row r="60" spans="2:19" x14ac:dyDescent="0.2">
      <c r="I60" s="59" t="s">
        <v>38</v>
      </c>
      <c r="J60" s="65">
        <v>0</v>
      </c>
      <c r="K60" s="51">
        <f>K7*1000000/D50</f>
        <v>61.661111375637553</v>
      </c>
      <c r="L60" s="51">
        <f>L7*1000000/E50</f>
        <v>78.447555034095046</v>
      </c>
      <c r="M60" s="51">
        <f>M7*1000000/F50</f>
        <v>71.726276583982312</v>
      </c>
      <c r="N60" s="77">
        <f>N7*1000000/G50</f>
        <v>70.334170185903787</v>
      </c>
      <c r="P60" s="34"/>
      <c r="Q60" s="34"/>
      <c r="R60" s="34"/>
    </row>
    <row r="61" spans="2:19" x14ac:dyDescent="0.2">
      <c r="I61" s="59" t="s">
        <v>39</v>
      </c>
      <c r="J61" s="47">
        <v>0</v>
      </c>
      <c r="K61" s="47">
        <v>0</v>
      </c>
      <c r="L61" s="47">
        <v>0</v>
      </c>
      <c r="M61" s="47">
        <v>0</v>
      </c>
      <c r="N61" s="78">
        <v>1</v>
      </c>
    </row>
    <row r="62" spans="2:19" x14ac:dyDescent="0.2">
      <c r="I62" s="59" t="s">
        <v>40</v>
      </c>
      <c r="J62" s="41">
        <f>J58/J59</f>
        <v>0</v>
      </c>
      <c r="K62" s="41">
        <f>K58/K59</f>
        <v>23.161971830985916</v>
      </c>
      <c r="L62" s="41">
        <f>L58/L59</f>
        <v>52.256235827664398</v>
      </c>
      <c r="M62" s="41" t="s">
        <v>164</v>
      </c>
      <c r="N62" s="75" t="s">
        <v>164</v>
      </c>
    </row>
    <row r="63" spans="2:19" x14ac:dyDescent="0.2">
      <c r="I63" s="59" t="s">
        <v>41</v>
      </c>
      <c r="J63" s="47">
        <v>0</v>
      </c>
      <c r="K63" s="47">
        <f>K58/K60</f>
        <v>2.666997015317738</v>
      </c>
      <c r="L63" s="47">
        <f>L58/L60</f>
        <v>2.937631388254756</v>
      </c>
      <c r="M63" s="47">
        <f>M58/M60</f>
        <v>1.5030753739707687</v>
      </c>
      <c r="N63" s="78">
        <f>N58/N60</f>
        <v>1.4075661906343406</v>
      </c>
    </row>
    <row r="64" spans="2:19" x14ac:dyDescent="0.2">
      <c r="I64" s="59" t="s">
        <v>42</v>
      </c>
      <c r="J64" s="41">
        <f>C54/C14</f>
        <v>0</v>
      </c>
      <c r="K64" s="41">
        <f>D54/D14</f>
        <v>19.82832597522173</v>
      </c>
      <c r="L64" s="41">
        <f>E54/E14</f>
        <v>30.589143619802108</v>
      </c>
      <c r="M64" s="41">
        <f>F54/F14</f>
        <v>311.98879204665695</v>
      </c>
      <c r="N64" s="75" t="s">
        <v>164</v>
      </c>
    </row>
    <row r="65" spans="9:14" x14ac:dyDescent="0.2">
      <c r="I65" s="60" t="s">
        <v>43</v>
      </c>
      <c r="J65" s="37">
        <f>C24/J7</f>
        <v>0.26585791664801478</v>
      </c>
      <c r="K65" s="37">
        <f>D24/K7</f>
        <v>9.2732970830096711E-2</v>
      </c>
      <c r="L65" s="37">
        <f>E24/L7</f>
        <v>5.9496202722009124E-2</v>
      </c>
      <c r="M65" s="37">
        <f>F24/M7</f>
        <v>-9.5069229478698253E-2</v>
      </c>
      <c r="N65" s="79" t="s">
        <v>164</v>
      </c>
    </row>
    <row r="66" spans="9:14" x14ac:dyDescent="0.2">
      <c r="I66" s="60" t="s">
        <v>44</v>
      </c>
      <c r="J66" s="37">
        <f>(C14-C18)/J12</f>
        <v>0.18018787361229724</v>
      </c>
      <c r="K66" s="37">
        <f>(D14-D18)/K12</f>
        <v>0.10025569965243224</v>
      </c>
      <c r="L66" s="37">
        <f>(E14-E18)/L12</f>
        <v>7.2403358696558784E-2</v>
      </c>
      <c r="M66" s="37">
        <f>(F14-F18)/M12</f>
        <v>-1.3118845521825625E-2</v>
      </c>
      <c r="N66" s="79" t="s">
        <v>164</v>
      </c>
    </row>
    <row r="67" spans="9:14" x14ac:dyDescent="0.2">
      <c r="I67" s="59" t="s">
        <v>45</v>
      </c>
      <c r="J67" s="40">
        <f>J11/J7</f>
        <v>0.27815330438545438</v>
      </c>
      <c r="K67" s="40">
        <f t="shared" ref="K67:M67" si="17">K11/K7</f>
        <v>0.46231025021907068</v>
      </c>
      <c r="L67" s="40">
        <f t="shared" si="17"/>
        <v>0.29575156026768928</v>
      </c>
      <c r="M67" s="40">
        <f t="shared" si="17"/>
        <v>0.50034047284605698</v>
      </c>
      <c r="N67" s="77">
        <f t="shared" ref="N67" si="18">N11/N7</f>
        <v>0.54732982431421484</v>
      </c>
    </row>
    <row r="68" spans="9:14" x14ac:dyDescent="0.2">
      <c r="I68" s="59" t="s">
        <v>46</v>
      </c>
      <c r="J68" s="40">
        <f>(J11-C53)/J7</f>
        <v>0.25855379978214482</v>
      </c>
      <c r="K68" s="40">
        <f>(K11-D53)/K7</f>
        <v>2.7681369604065306E-2</v>
      </c>
      <c r="L68" s="40">
        <f>(L11-E53)/L7</f>
        <v>0.27939243552146775</v>
      </c>
      <c r="M68" s="40">
        <f>(M11-F53)/M7</f>
        <v>0.47668830122142575</v>
      </c>
      <c r="N68" s="77">
        <f>(N11-G53)/N7</f>
        <v>0.51140766683775651</v>
      </c>
    </row>
    <row r="69" spans="9:14" x14ac:dyDescent="0.2">
      <c r="I69" s="59" t="s">
        <v>47</v>
      </c>
      <c r="J69" s="47">
        <v>0</v>
      </c>
      <c r="K69" s="47">
        <v>0</v>
      </c>
      <c r="L69" s="47">
        <v>0</v>
      </c>
      <c r="M69" s="47">
        <v>0</v>
      </c>
      <c r="N69" s="78" t="s">
        <v>164</v>
      </c>
    </row>
    <row r="70" spans="9:14" x14ac:dyDescent="0.2">
      <c r="I70" s="59" t="s">
        <v>48</v>
      </c>
      <c r="J70" s="40">
        <f>AVERAGE(J32:J32)/C5*365</f>
        <v>74.755639394050846</v>
      </c>
      <c r="K70" s="40">
        <f>AVERAGE(J32:K32)/D5*365</f>
        <v>85.040125571417335</v>
      </c>
      <c r="L70" s="40">
        <f>AVERAGE(K32:L32)/E5*365</f>
        <v>124.62906862679824</v>
      </c>
      <c r="M70" s="40">
        <f>AVERAGE(L32:M32)/F5*365</f>
        <v>208.78023203174664</v>
      </c>
      <c r="N70" s="78" t="s">
        <v>164</v>
      </c>
    </row>
    <row r="71" spans="9:14" x14ac:dyDescent="0.2">
      <c r="I71" s="59" t="s">
        <v>49</v>
      </c>
      <c r="J71" s="40">
        <f>(AVERAGE(J42:J42)/SUM(C9:C11))*365</f>
        <v>78.945434619599709</v>
      </c>
      <c r="K71" s="40">
        <f>(AVERAGE(J42:K42)/SUM(D9:D11))*365</f>
        <v>75.51716684826377</v>
      </c>
      <c r="L71" s="40">
        <f>(AVERAGE(K42:L42)/SUM(E9:E11))*365</f>
        <v>84.421852467173224</v>
      </c>
      <c r="M71" s="40">
        <f>(AVERAGE(L42:M42)/SUM(F9:F11))*365</f>
        <v>152.99316937189852</v>
      </c>
      <c r="N71" s="78" t="s">
        <v>164</v>
      </c>
    </row>
    <row r="72" spans="9:14" x14ac:dyDescent="0.2">
      <c r="I72" s="59" t="s">
        <v>50</v>
      </c>
      <c r="J72" s="40">
        <f>(AVERAGE(J29:J29)/SUM(C9:C11))*365</f>
        <v>197.53832843052433</v>
      </c>
      <c r="K72" s="40">
        <f>(AVERAGE(J29:K29)/SUM(D9:D11))*365</f>
        <v>196.410772656213</v>
      </c>
      <c r="L72" s="40">
        <f>(AVERAGE(K29:L29)/SUM(E9:E11))*365</f>
        <v>185.78748408207323</v>
      </c>
      <c r="M72" s="40">
        <f>(AVERAGE(L29:M29)/SUM(F9:F11))*365</f>
        <v>309.41040113876744</v>
      </c>
      <c r="N72" s="78" t="s">
        <v>164</v>
      </c>
    </row>
    <row r="73" spans="9:14" x14ac:dyDescent="0.2">
      <c r="I73" s="59" t="s">
        <v>51</v>
      </c>
      <c r="J73" s="40">
        <f>J72+J70-J71</f>
        <v>193.34853320497547</v>
      </c>
      <c r="K73" s="40">
        <f t="shared" ref="K73:M73" si="19">K72+K70-K71</f>
        <v>205.93373137936655</v>
      </c>
      <c r="L73" s="40">
        <f t="shared" si="19"/>
        <v>225.99470024169824</v>
      </c>
      <c r="M73" s="40">
        <f t="shared" si="19"/>
        <v>365.19746379861556</v>
      </c>
      <c r="N73" s="78" t="s">
        <v>164</v>
      </c>
    </row>
    <row r="74" spans="9:14" x14ac:dyDescent="0.2">
      <c r="I74" s="59" t="s">
        <v>52</v>
      </c>
      <c r="J74" s="40">
        <f>J47/C5*365</f>
        <v>128.64460126213132</v>
      </c>
      <c r="K74" s="40">
        <f>K47/D5*365</f>
        <v>164.10712881740486</v>
      </c>
      <c r="L74" s="40">
        <f>L47/E5*365</f>
        <v>178.14590906871555</v>
      </c>
      <c r="M74" s="40">
        <f>M47/F5*365</f>
        <v>156.81127314056744</v>
      </c>
      <c r="N74" s="78" t="s">
        <v>164</v>
      </c>
    </row>
    <row r="75" spans="9:14" x14ac:dyDescent="0.2">
      <c r="I75" s="61" t="s">
        <v>53</v>
      </c>
      <c r="J75" s="37">
        <f>C20/J11</f>
        <v>7.9475350034869371E-2</v>
      </c>
      <c r="K75" s="37">
        <f>D20/K11</f>
        <v>2.9540789299430541E-2</v>
      </c>
      <c r="L75" s="37">
        <f>E20/L11</f>
        <v>4.5794772704159464E-2</v>
      </c>
      <c r="M75" s="37">
        <f>F20/M11</f>
        <v>0.10150692316795749</v>
      </c>
      <c r="N75" s="78" t="s">
        <v>164</v>
      </c>
    </row>
    <row r="76" spans="9:14" x14ac:dyDescent="0.2">
      <c r="I76" s="52" t="s">
        <v>54</v>
      </c>
      <c r="J76" s="40">
        <f>(C21+C20)/C20</f>
        <v>13.185622679716509</v>
      </c>
      <c r="K76" s="40">
        <f>(D21+D20)/D20</f>
        <v>8.0862986831045145</v>
      </c>
      <c r="L76" s="40">
        <f>(E21+E20)/E20</f>
        <v>6.6078170108816305</v>
      </c>
      <c r="M76" s="40">
        <f>(F21+F20)/F20</f>
        <v>-0.61461234535915577</v>
      </c>
      <c r="N76" s="78" t="s">
        <v>164</v>
      </c>
    </row>
    <row r="77" spans="9:14" x14ac:dyDescent="0.2">
      <c r="I77" s="61" t="s">
        <v>120</v>
      </c>
      <c r="J77" s="40">
        <f>C5/AVERAGE(J54)</f>
        <v>0.80476738187261621</v>
      </c>
      <c r="K77" s="40">
        <f>D5/AVERAGE(J54:K54)</f>
        <v>0.50982261599533885</v>
      </c>
      <c r="L77" s="40">
        <f>E5/AVERAGE(K54:L54)</f>
        <v>0.45797741936795366</v>
      </c>
      <c r="M77" s="40">
        <f>F5/AVERAGE(L54:M54)</f>
        <v>0.38476426601292835</v>
      </c>
      <c r="N77" s="78" t="s">
        <v>164</v>
      </c>
    </row>
  </sheetData>
  <mergeCells count="3">
    <mergeCell ref="B3:G3"/>
    <mergeCell ref="I3:N3"/>
    <mergeCell ref="B2:N2"/>
  </mergeCells>
  <phoneticPr fontId="15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J70:M72 E53:G5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baseColWidth="10" defaultColWidth="8.83203125" defaultRowHeight="15" x14ac:dyDescent="0.2"/>
  <cols>
    <col min="1" max="1" width="45" customWidth="1"/>
    <col min="2" max="10" width="15.1640625" customWidth="1"/>
  </cols>
  <sheetData>
    <row r="1" spans="1:11" x14ac:dyDescent="0.2">
      <c r="B1" s="1" t="s">
        <v>14</v>
      </c>
      <c r="C1" s="1" t="s">
        <v>72</v>
      </c>
      <c r="D1" s="1" t="s">
        <v>14</v>
      </c>
      <c r="E1" s="1" t="s">
        <v>72</v>
      </c>
      <c r="F1" s="1" t="s">
        <v>14</v>
      </c>
      <c r="G1" s="1" t="s">
        <v>72</v>
      </c>
      <c r="H1" s="1" t="s">
        <v>14</v>
      </c>
      <c r="I1" s="1" t="s">
        <v>72</v>
      </c>
      <c r="J1" s="1" t="s">
        <v>14</v>
      </c>
      <c r="K1" s="1" t="s">
        <v>72</v>
      </c>
    </row>
    <row r="2" spans="1:11" x14ac:dyDescent="0.2">
      <c r="A2" s="2" t="s">
        <v>73</v>
      </c>
      <c r="B2" s="88" t="s">
        <v>116</v>
      </c>
      <c r="C2" s="89"/>
      <c r="D2" s="88" t="s">
        <v>117</v>
      </c>
      <c r="E2" s="89"/>
      <c r="F2" s="88" t="s">
        <v>118</v>
      </c>
      <c r="G2" s="89"/>
      <c r="H2" s="90" t="s">
        <v>119</v>
      </c>
      <c r="I2" s="91"/>
      <c r="J2" s="88" t="s">
        <v>74</v>
      </c>
      <c r="K2" s="89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2">
      <c r="A4" s="5" t="s">
        <v>75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2">
      <c r="A5" s="3" t="s">
        <v>76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2">
      <c r="A6" s="3" t="s">
        <v>77</v>
      </c>
      <c r="B6" s="6"/>
      <c r="C6" s="9" t="s">
        <v>71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2">
      <c r="A7" s="3" t="s">
        <v>78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2">
      <c r="A8" s="3" t="s">
        <v>79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2">
      <c r="A9" s="3" t="s">
        <v>80</v>
      </c>
      <c r="B9" s="6"/>
      <c r="C9" s="9" t="s">
        <v>71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2">
      <c r="A10" s="3" t="s">
        <v>78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2">
      <c r="A11" s="3" t="s">
        <v>81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2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2">
      <c r="A13" s="3" t="s">
        <v>82</v>
      </c>
      <c r="B13" s="6"/>
      <c r="C13" s="9" t="s">
        <v>71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2">
      <c r="A14" s="3" t="s">
        <v>78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2">
      <c r="A15" s="3" t="s">
        <v>83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2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2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2">
      <c r="A18" s="5" t="s">
        <v>84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2">
      <c r="A19" s="3" t="s">
        <v>85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2">
      <c r="A20" s="3" t="s">
        <v>66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2">
      <c r="A21" s="3" t="s">
        <v>86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2">
      <c r="A22" s="3" t="s">
        <v>87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2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2">
      <c r="A24" s="5" t="s">
        <v>88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2">
      <c r="A25" s="3" t="s">
        <v>89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2">
      <c r="A26" s="3" t="s">
        <v>63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2">
      <c r="A27" s="3" t="s">
        <v>90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2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2">
      <c r="A29" s="3" t="s">
        <v>91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2">
      <c r="A30" s="3" t="s">
        <v>65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2">
      <c r="A31" s="3" t="s">
        <v>92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2">
      <c r="A32" s="3" t="s">
        <v>93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2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2">
      <c r="A34" s="3" t="s">
        <v>94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2">
      <c r="A35" s="3" t="s">
        <v>47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2">
      <c r="A36" s="3" t="s">
        <v>95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2">
      <c r="A37" s="3" t="s">
        <v>96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2">
      <c r="A38" s="3" t="s">
        <v>97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2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2">
      <c r="A40" s="5" t="s">
        <v>98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2">
      <c r="A41" s="3" t="s">
        <v>99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2">
      <c r="A42" s="3" t="s">
        <v>100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2">
      <c r="A43" s="3" t="s">
        <v>101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2">
      <c r="A44" s="3" t="s">
        <v>102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2">
      <c r="A45" s="3" t="s">
        <v>103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2">
      <c r="A46" s="3" t="s">
        <v>104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2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2">
      <c r="A48" s="3" t="s">
        <v>105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2">
      <c r="A49" s="3" t="s">
        <v>106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2">
      <c r="A50" s="3" t="s">
        <v>107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2">
      <c r="A51" s="3" t="s">
        <v>108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2">
      <c r="A52" s="3" t="s">
        <v>109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2">
      <c r="A53" s="3" t="s">
        <v>110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2">
      <c r="A54" s="3" t="s">
        <v>111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2">
      <c r="A55" s="3" t="s">
        <v>112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2">
      <c r="A56" s="3" t="s">
        <v>113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2">
      <c r="A57" s="3" t="s">
        <v>104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2">
      <c r="A58" s="3" t="s">
        <v>114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2">
      <c r="A59" s="28" t="s">
        <v>115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Ashwini raj</cp:lastModifiedBy>
  <cp:lastPrinted>2024-03-06T13:13:44Z</cp:lastPrinted>
  <dcterms:created xsi:type="dcterms:W3CDTF">2022-02-14T05:39:32Z</dcterms:created>
  <dcterms:modified xsi:type="dcterms:W3CDTF">2026-02-17T07:29:29Z</dcterms:modified>
</cp:coreProperties>
</file>