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Kamat\"/>
    </mc:Choice>
  </mc:AlternateContent>
  <xr:revisionPtr revIDLastSave="0" documentId="13_ncr:1_{0D056AD6-FC93-45F1-B280-80374615BD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1" l="1"/>
  <c r="G34" i="1"/>
  <c r="G24" i="1"/>
  <c r="G27" i="1" s="1"/>
  <c r="G28" i="1" s="1"/>
  <c r="G14" i="1"/>
  <c r="G7" i="1"/>
  <c r="G26" i="1" s="1"/>
  <c r="O76" i="1"/>
  <c r="G58" i="1" l="1"/>
  <c r="G59" i="1" s="1"/>
  <c r="G55" i="1"/>
  <c r="G49" i="1"/>
  <c r="G50" i="1" s="1"/>
  <c r="O68" i="1"/>
  <c r="O56" i="1"/>
  <c r="O45" i="1"/>
  <c r="O30" i="1"/>
  <c r="O11" i="1"/>
  <c r="O7" i="1"/>
  <c r="O12" i="1" l="1"/>
  <c r="O58" i="1"/>
  <c r="O70" i="1"/>
  <c r="O13" i="1" s="1"/>
  <c r="O71" i="1"/>
  <c r="G15" i="1" l="1"/>
  <c r="F61" i="1" l="1"/>
  <c r="F43" i="1"/>
  <c r="N86" i="1"/>
  <c r="N87" i="1"/>
  <c r="N89" i="1"/>
  <c r="N92" i="1"/>
  <c r="N76" i="1"/>
  <c r="O79" i="1" s="1"/>
  <c r="O94" i="1" l="1"/>
  <c r="F39" i="1"/>
  <c r="F6" i="1"/>
  <c r="F5" i="1"/>
  <c r="F53" i="1" l="1"/>
  <c r="N49" i="1"/>
  <c r="N11" i="1"/>
  <c r="N30" i="1"/>
  <c r="N88" i="1" l="1"/>
  <c r="N90" i="1" s="1"/>
  <c r="F60" i="1"/>
  <c r="F7" i="1"/>
  <c r="F14" i="1" s="1"/>
  <c r="F58" i="1"/>
  <c r="F15" i="1" l="1"/>
  <c r="F24" i="1"/>
  <c r="N93" i="1"/>
  <c r="E6" i="1"/>
  <c r="F26" i="1" l="1"/>
  <c r="N94" i="1"/>
  <c r="K92" i="1"/>
  <c r="L92" i="1"/>
  <c r="M92" i="1"/>
  <c r="L89" i="1" l="1"/>
  <c r="M89" i="1"/>
  <c r="L87" i="1"/>
  <c r="M87" i="1"/>
  <c r="C61" i="1" l="1"/>
  <c r="D61" i="1"/>
  <c r="E61" i="1"/>
  <c r="E43" i="1"/>
  <c r="B61" i="1"/>
  <c r="L43" i="1" l="1"/>
  <c r="L49" i="1" l="1"/>
  <c r="L88" i="1" l="1"/>
  <c r="L90" i="1" s="1"/>
  <c r="M88" i="1"/>
  <c r="M90" i="1" s="1"/>
  <c r="E7" i="1" l="1"/>
  <c r="D7" i="1"/>
  <c r="C5" i="1"/>
  <c r="K89" i="1" l="1"/>
  <c r="K87" i="1"/>
  <c r="M86" i="1"/>
  <c r="L86" i="1"/>
  <c r="K86" i="1"/>
  <c r="M76" i="1"/>
  <c r="L76" i="1"/>
  <c r="L79" i="1" s="1"/>
  <c r="K76" i="1"/>
  <c r="J92" i="1"/>
  <c r="J89" i="1"/>
  <c r="J87" i="1"/>
  <c r="J86" i="1"/>
  <c r="J76" i="1"/>
  <c r="F59" i="1"/>
  <c r="F62" i="1" s="1"/>
  <c r="N81" i="1" s="1"/>
  <c r="E59" i="1"/>
  <c r="D59" i="1"/>
  <c r="C59" i="1"/>
  <c r="N68" i="1"/>
  <c r="M68" i="1"/>
  <c r="L68" i="1"/>
  <c r="K68" i="1"/>
  <c r="N56" i="1"/>
  <c r="M56" i="1"/>
  <c r="L56" i="1"/>
  <c r="K56" i="1"/>
  <c r="N45" i="1"/>
  <c r="M45" i="1"/>
  <c r="L45" i="1"/>
  <c r="K45" i="1"/>
  <c r="M30" i="1"/>
  <c r="L30" i="1"/>
  <c r="K30" i="1"/>
  <c r="M11" i="1"/>
  <c r="L11" i="1"/>
  <c r="K11" i="1"/>
  <c r="N7" i="1"/>
  <c r="M7" i="1"/>
  <c r="M77" i="1" s="1"/>
  <c r="L7" i="1"/>
  <c r="L77" i="1" s="1"/>
  <c r="K7" i="1"/>
  <c r="K77" i="1" s="1"/>
  <c r="J68" i="1"/>
  <c r="J49" i="1"/>
  <c r="J88" i="1" s="1"/>
  <c r="J45" i="1"/>
  <c r="J30" i="1"/>
  <c r="J11" i="1"/>
  <c r="B60" i="1" s="1"/>
  <c r="J7" i="1"/>
  <c r="B58" i="1"/>
  <c r="B59" i="1" s="1"/>
  <c r="N77" i="1" l="1"/>
  <c r="N80" i="1" s="1"/>
  <c r="N84" i="1"/>
  <c r="N85" i="1"/>
  <c r="B62" i="1"/>
  <c r="M79" i="1"/>
  <c r="N79" i="1"/>
  <c r="K84" i="1"/>
  <c r="C60" i="1"/>
  <c r="C62" i="1" s="1"/>
  <c r="L84" i="1"/>
  <c r="D60" i="1"/>
  <c r="D62" i="1" s="1"/>
  <c r="J85" i="1"/>
  <c r="J56" i="1"/>
  <c r="J58" i="1" s="1"/>
  <c r="J91" i="1" s="1"/>
  <c r="M84" i="1"/>
  <c r="E60" i="1"/>
  <c r="E62" i="1" s="1"/>
  <c r="J70" i="1"/>
  <c r="K88" i="1"/>
  <c r="K90" i="1" s="1"/>
  <c r="J84" i="1"/>
  <c r="L12" i="1"/>
  <c r="K71" i="1"/>
  <c r="L80" i="1"/>
  <c r="M80" i="1"/>
  <c r="M71" i="1"/>
  <c r="J90" i="1"/>
  <c r="K12" i="1"/>
  <c r="L71" i="1"/>
  <c r="J93" i="1"/>
  <c r="J12" i="1"/>
  <c r="N71" i="1"/>
  <c r="K70" i="1"/>
  <c r="K13" i="1" s="1"/>
  <c r="L58" i="1"/>
  <c r="N12" i="1"/>
  <c r="N83" i="1" s="1"/>
  <c r="M70" i="1"/>
  <c r="M13" i="1" s="1"/>
  <c r="P13" i="1" s="1"/>
  <c r="M12" i="1"/>
  <c r="N58" i="1"/>
  <c r="J77" i="1"/>
  <c r="L70" i="1"/>
  <c r="L13" i="1" s="1"/>
  <c r="K58" i="1"/>
  <c r="M58" i="1"/>
  <c r="N91" i="1" s="1"/>
  <c r="N70" i="1"/>
  <c r="N13" i="1" s="1"/>
  <c r="M93" i="1" l="1"/>
  <c r="M85" i="1"/>
  <c r="L93" i="1"/>
  <c r="L85" i="1"/>
  <c r="K93" i="1"/>
  <c r="K85" i="1"/>
  <c r="J71" i="1"/>
  <c r="J13" i="1"/>
  <c r="L91" i="1"/>
  <c r="K91" i="1"/>
  <c r="M91" i="1"/>
  <c r="B7" i="1"/>
  <c r="B14" i="1" s="1"/>
  <c r="F55" i="1"/>
  <c r="E53" i="1"/>
  <c r="E55" i="1" s="1"/>
  <c r="D53" i="1"/>
  <c r="D55" i="1" s="1"/>
  <c r="C53" i="1"/>
  <c r="C55" i="1" s="1"/>
  <c r="B53" i="1"/>
  <c r="B55" i="1" s="1"/>
  <c r="F49" i="1"/>
  <c r="F50" i="1" s="1"/>
  <c r="E49" i="1"/>
  <c r="E50" i="1" s="1"/>
  <c r="D49" i="1"/>
  <c r="D50" i="1" s="1"/>
  <c r="C49" i="1"/>
  <c r="C50" i="1" s="1"/>
  <c r="B49" i="1"/>
  <c r="B50" i="1" s="1"/>
  <c r="C39" i="1"/>
  <c r="E39" i="1"/>
  <c r="D39" i="1"/>
  <c r="E14" i="1"/>
  <c r="F16" i="1" s="1"/>
  <c r="D14" i="1"/>
  <c r="D24" i="1" s="1"/>
  <c r="C7" i="1"/>
  <c r="C14" i="1" s="1"/>
  <c r="D5" i="1"/>
  <c r="E5" i="1"/>
  <c r="C24" i="1" l="1"/>
  <c r="F17" i="1"/>
  <c r="L94" i="1"/>
  <c r="L83" i="1"/>
  <c r="E24" i="1"/>
  <c r="E17" i="1"/>
  <c r="M81" i="1"/>
  <c r="K81" i="1"/>
  <c r="C26" i="1"/>
  <c r="K94" i="1"/>
  <c r="K83" i="1"/>
  <c r="L81" i="1"/>
  <c r="B15" i="1"/>
  <c r="B24" i="1"/>
  <c r="J83" i="1" s="1"/>
  <c r="J81" i="1"/>
  <c r="C16" i="1"/>
  <c r="C15" i="1"/>
  <c r="D16" i="1"/>
  <c r="D15" i="1"/>
  <c r="E16" i="1"/>
  <c r="E15" i="1"/>
  <c r="M94" i="1" l="1"/>
  <c r="M83" i="1"/>
  <c r="J94" i="1"/>
  <c r="E27" i="1"/>
  <c r="E28" i="1" s="1"/>
  <c r="E26" i="1"/>
  <c r="D27" i="1"/>
  <c r="L82" i="1" s="1"/>
  <c r="D26" i="1"/>
  <c r="C27" i="1"/>
  <c r="K82" i="1" s="1"/>
  <c r="B27" i="1"/>
  <c r="J82" i="1" s="1"/>
  <c r="B26" i="1"/>
  <c r="F27" i="1"/>
  <c r="F34" i="1" s="1"/>
  <c r="N82" i="1" l="1"/>
  <c r="F29" i="1"/>
  <c r="F28" i="1"/>
  <c r="E34" i="1"/>
  <c r="M82" i="1"/>
  <c r="C28" i="1"/>
  <c r="C34" i="1"/>
  <c r="D29" i="1"/>
  <c r="D34" i="1"/>
  <c r="D28" i="1"/>
  <c r="E29" i="1"/>
  <c r="C29" i="1"/>
  <c r="B28" i="1"/>
  <c r="B34" i="1"/>
  <c r="F35" i="1" l="1"/>
  <c r="E35" i="1"/>
  <c r="D35" i="1"/>
  <c r="C35" i="1"/>
</calcChain>
</file>

<file path=xl/sharedStrings.xml><?xml version="1.0" encoding="utf-8"?>
<sst xmlns="http://schemas.openxmlformats.org/spreadsheetml/2006/main" count="209" uniqueCount="133">
  <si>
    <t>Kamat Hotels India ltd.</t>
  </si>
  <si>
    <t>Consolidated Income statement</t>
  </si>
  <si>
    <t>March Year Ended (INR Mn)</t>
  </si>
  <si>
    <t>Revenue From Operations</t>
  </si>
  <si>
    <t>Growth(%)</t>
  </si>
  <si>
    <t>CAGR (%) 3 years</t>
  </si>
  <si>
    <t>Expenditure</t>
  </si>
  <si>
    <t>a. Consumption of Food and bev</t>
  </si>
  <si>
    <t>b. Employee Benefit Expense</t>
  </si>
  <si>
    <t>c. Other Expense</t>
  </si>
  <si>
    <t>i. Heat, light and power</t>
  </si>
  <si>
    <t>ii. Others</t>
  </si>
  <si>
    <t>EBITDA</t>
  </si>
  <si>
    <t>EBITDA Margins (%)</t>
  </si>
  <si>
    <t>Other Income</t>
  </si>
  <si>
    <t>Finance cost</t>
  </si>
  <si>
    <t>Share of Profit/(loss) Joint Ventures</t>
  </si>
  <si>
    <t>PBT</t>
  </si>
  <si>
    <t xml:space="preserve">Tax </t>
  </si>
  <si>
    <t>Effective Tax Rate (%)</t>
  </si>
  <si>
    <t>PAT from continuing operations</t>
  </si>
  <si>
    <t>PAT Margins (%)</t>
  </si>
  <si>
    <t>Other Comprehensive Income</t>
  </si>
  <si>
    <t>Total Comprehensive Income</t>
  </si>
  <si>
    <t>CASH FLOW (INR Mn)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</si>
  <si>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</si>
  <si>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</si>
  <si>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</si>
  <si>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</si>
  <si>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Equivalents</t>
  </si>
  <si>
    <t>Cash and Cash Equivalents at end of the year</t>
  </si>
  <si>
    <t>Our Calculations</t>
  </si>
  <si>
    <t xml:space="preserve">Operating Cash Inflow </t>
  </si>
  <si>
    <t>Capital Expenditure</t>
  </si>
  <si>
    <t>FCF</t>
  </si>
  <si>
    <t>Market Cap (INR in Mn)</t>
  </si>
  <si>
    <t>Total Debt</t>
  </si>
  <si>
    <t>Cash</t>
  </si>
  <si>
    <t>EV</t>
  </si>
  <si>
    <t>Y/E, Mar (Rs. mn)</t>
  </si>
  <si>
    <t>Equity Share Capital</t>
  </si>
  <si>
    <t>Other Equity</t>
  </si>
  <si>
    <t>Non-Controlling Interest</t>
  </si>
  <si>
    <t>Networth/Shareholders Fund/ Book Value</t>
  </si>
  <si>
    <t>Long Term Debt</t>
  </si>
  <si>
    <t>Short Term Debt</t>
  </si>
  <si>
    <t>NON CURRENT ASSETS</t>
  </si>
  <si>
    <t>Property, plant and Equipment</t>
  </si>
  <si>
    <t>Capital WIP</t>
  </si>
  <si>
    <t xml:space="preserve">Other Intangible assets </t>
  </si>
  <si>
    <t>Financial Assets</t>
  </si>
  <si>
    <t>Other Non-current assets</t>
  </si>
  <si>
    <t>CURRENT ASSETS, LOANS &amp; ADVANCES</t>
  </si>
  <si>
    <t>Inventories</t>
  </si>
  <si>
    <t xml:space="preserve">Other Current Assets </t>
  </si>
  <si>
    <t>CURRENT LIABILITIES &amp; PROVISIONS</t>
  </si>
  <si>
    <t>Financial Liabilities</t>
  </si>
  <si>
    <t>a) Trade payables</t>
  </si>
  <si>
    <t>b) Oher financial liabilities</t>
  </si>
  <si>
    <t>c)Lease liablities</t>
  </si>
  <si>
    <t>Other current liabilities</t>
  </si>
  <si>
    <t>Provisions</t>
  </si>
  <si>
    <t>Current Tax Liabilities</t>
  </si>
  <si>
    <t>NET CURRENT ASSETS</t>
  </si>
  <si>
    <t>NON CURRENT LIABILITIES</t>
  </si>
  <si>
    <t>TOTAL ASSETS</t>
  </si>
  <si>
    <t>TOTAL LIABILITIES &amp; EQUITY</t>
  </si>
  <si>
    <t>CMP(INR)</t>
  </si>
  <si>
    <t>EPS (INR)</t>
  </si>
  <si>
    <t>BVPS (INR)</t>
  </si>
  <si>
    <t>DPS (INR)</t>
  </si>
  <si>
    <t>P/E (x)</t>
  </si>
  <si>
    <t>P/BV (x)</t>
  </si>
  <si>
    <t>EV/EBIDTA (x)</t>
  </si>
  <si>
    <t>ROE (%)</t>
  </si>
  <si>
    <t>ROCE (%)</t>
  </si>
  <si>
    <t>Gross D/E (x)</t>
  </si>
  <si>
    <t>Net D/E (x)</t>
  </si>
  <si>
    <t>Dividend Yield (%)</t>
  </si>
  <si>
    <t>Debtor Days</t>
  </si>
  <si>
    <t>Creditor Days</t>
  </si>
  <si>
    <t>Inventory Days</t>
  </si>
  <si>
    <t>Cash Conversion cycle</t>
  </si>
  <si>
    <t>Working Capital Days</t>
  </si>
  <si>
    <t>Fixed Asset Turnover</t>
  </si>
  <si>
    <t>Interest Cost</t>
  </si>
  <si>
    <t xml:space="preserve">Interest Coverage </t>
  </si>
  <si>
    <t>Key Ratios</t>
  </si>
  <si>
    <t>-</t>
  </si>
  <si>
    <t>FY21</t>
  </si>
  <si>
    <t>Non controlling interest</t>
  </si>
  <si>
    <t>EPS</t>
  </si>
  <si>
    <t>Diluted</t>
  </si>
  <si>
    <t>Exceptional Items Profit/(loss)</t>
  </si>
  <si>
    <t>No of Shares (in Mn)</t>
  </si>
  <si>
    <t>Total Loans</t>
  </si>
  <si>
    <t>Right to use assets</t>
  </si>
  <si>
    <t>Investment Property</t>
  </si>
  <si>
    <t>i. Investment accounted for Equity Method</t>
  </si>
  <si>
    <t>ii. Investments</t>
  </si>
  <si>
    <t>iii. Loans</t>
  </si>
  <si>
    <t>iv. Other Financial assets</t>
  </si>
  <si>
    <t>Income Tax Asset (net)</t>
  </si>
  <si>
    <t>Total Non Current Assets</t>
  </si>
  <si>
    <t>i. Investment</t>
  </si>
  <si>
    <t>ii. Trade Receviable</t>
  </si>
  <si>
    <t>iii. Cash and Bank Balance</t>
  </si>
  <si>
    <t>Cash and Cash Equivalent</t>
  </si>
  <si>
    <t>Other Bank Balances</t>
  </si>
  <si>
    <t>Total Current Asset</t>
  </si>
  <si>
    <t>i. lease liability</t>
  </si>
  <si>
    <t>ii. Other Financial Liabilities</t>
  </si>
  <si>
    <t>Non current Tax Liabilities</t>
  </si>
  <si>
    <t>Other non-current liabilites</t>
  </si>
  <si>
    <t>Total Current Liabilities excluding borrowings</t>
  </si>
  <si>
    <t>Total Non current Liablities excluding Borrowings</t>
  </si>
  <si>
    <t>iv. Loans</t>
  </si>
  <si>
    <t>v. Other Financial assets</t>
  </si>
  <si>
    <t>Capital Employed (Asset)</t>
  </si>
  <si>
    <t>Capital Employed (liabilities)</t>
  </si>
  <si>
    <t>Consolidated Balance Sheet</t>
  </si>
  <si>
    <t>FY23</t>
  </si>
  <si>
    <t>FY24</t>
  </si>
  <si>
    <t>NA</t>
  </si>
  <si>
    <t>FY25</t>
  </si>
  <si>
    <t xml:space="preserve"> FY25</t>
  </si>
  <si>
    <t>Goodwill</t>
  </si>
  <si>
    <t>Depreciation &amp; Impairment</t>
  </si>
  <si>
    <t>H1-FY26</t>
  </si>
  <si>
    <t xml:space="preserve"> </t>
  </si>
  <si>
    <t>Current Tax assets</t>
  </si>
  <si>
    <t>9M-FY26</t>
  </si>
  <si>
    <t>TTM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</si>
</sst>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&quot;FY&quot;00"/>
    <numFmt numFmtId="165" formatCode="#,##0.00;\(#,##0.00\)"/>
    <numFmt numFmtId="166" formatCode="0.00\x"/>
    <numFmt numFmtId="167" formatCode="#,##0.00;\(#,##0.00\);\-"/>
  </numFmts>
  <fonts count="13"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i/>
      <sz val="11"/>
      <color theme="0"/>
      <name val="Calibri"/>
      <family val="2"/>
    </font>
    <font>
      <sz val="11"/>
      <color theme="0"/>
      <name val="Calibri"/>
      <family val="2"/>
    </font>
    <font>
      <i/>
      <sz val="11"/>
      <color theme="1"/>
      <name val="Calibri"/>
      <family val="2"/>
    </font>
    <font>
      <i/>
      <sz val="11"/>
      <color rgb="FF002060"/>
      <name val="Calibri"/>
      <family val="2"/>
    </font>
    <font>
      <sz val="10"/>
      <color rgb="FF000000"/>
      <name val="MyFirstFont"/>
    </font>
    <font>
      <sz val="11"/>
      <color theme="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b/>
      <sz val="11"/>
      <name val="Calibri"/>
      <family val="2"/>
    </font>
    <font>
      <sz val="10"/>
      <name val="MyFirstFont"/>
    </font>
  </fonts>
  <fills count="6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90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4" borderId="5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164" fontId="1" fillId="4" borderId="0" xfId="0" applyNumberFormat="1" applyFont="1" applyFill="1" applyAlignment="1">
      <alignment horizontal="center"/>
    </xf>
    <xf numFmtId="165" fontId="0" fillId="0" borderId="0" xfId="0" applyNumberFormat="1" applyAlignment="1">
      <alignment horizontal="center"/>
    </xf>
    <xf numFmtId="0" fontId="4" fillId="3" borderId="4" xfId="0" applyFont="1" applyFill="1" applyBorder="1"/>
    <xf numFmtId="165" fontId="0" fillId="0" borderId="5" xfId="0" applyNumberFormat="1" applyBorder="1" applyAlignment="1">
      <alignment horizontal="center"/>
    </xf>
    <xf numFmtId="0" fontId="0" fillId="0" borderId="4" xfId="0" applyBorder="1" applyAlignment="1">
      <alignment horizontal="left" indent="1"/>
    </xf>
    <xf numFmtId="0" fontId="0" fillId="0" borderId="4" xfId="0" applyBorder="1" applyAlignment="1">
      <alignment horizontal="left" indent="2"/>
    </xf>
    <xf numFmtId="0" fontId="1" fillId="4" borderId="0" xfId="0" applyFont="1" applyFill="1" applyAlignment="1">
      <alignment horizontal="center"/>
    </xf>
    <xf numFmtId="0" fontId="1" fillId="4" borderId="4" xfId="0" applyFont="1" applyFill="1" applyBorder="1"/>
    <xf numFmtId="0" fontId="3" fillId="3" borderId="4" xfId="0" applyFont="1" applyFill="1" applyBorder="1"/>
    <xf numFmtId="0" fontId="3" fillId="3" borderId="0" xfId="0" applyFont="1" applyFill="1" applyAlignment="1">
      <alignment horizontal="center"/>
    </xf>
    <xf numFmtId="10" fontId="3" fillId="3" borderId="0" xfId="0" applyNumberFormat="1" applyFont="1" applyFill="1" applyAlignment="1">
      <alignment horizontal="center"/>
    </xf>
    <xf numFmtId="0" fontId="2" fillId="0" borderId="4" xfId="0" applyFont="1" applyBorder="1"/>
    <xf numFmtId="0" fontId="5" fillId="0" borderId="4" xfId="0" applyFont="1" applyBorder="1" applyAlignment="1">
      <alignment horizontal="left" indent="1"/>
    </xf>
    <xf numFmtId="0" fontId="2" fillId="0" borderId="10" xfId="0" applyFont="1" applyBorder="1"/>
    <xf numFmtId="10" fontId="3" fillId="3" borderId="5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6" fillId="0" borderId="4" xfId="0" applyFont="1" applyBorder="1"/>
    <xf numFmtId="0" fontId="0" fillId="0" borderId="5" xfId="0" applyBorder="1" applyAlignment="1">
      <alignment horizontal="center"/>
    </xf>
    <xf numFmtId="0" fontId="5" fillId="0" borderId="4" xfId="0" applyFont="1" applyBorder="1"/>
    <xf numFmtId="0" fontId="1" fillId="3" borderId="4" xfId="0" applyFont="1" applyFill="1" applyBorder="1"/>
    <xf numFmtId="165" fontId="5" fillId="0" borderId="0" xfId="0" applyNumberFormat="1" applyFont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0" fontId="6" fillId="0" borderId="0" xfId="0" applyNumberFormat="1" applyFont="1" applyAlignment="1">
      <alignment horizontal="center"/>
    </xf>
    <xf numFmtId="165" fontId="0" fillId="0" borderId="7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3" borderId="0" xfId="0" applyNumberFormat="1" applyFont="1" applyFill="1" applyAlignment="1">
      <alignment horizontal="center"/>
    </xf>
    <xf numFmtId="165" fontId="4" fillId="3" borderId="5" xfId="0" applyNumberFormat="1" applyFont="1" applyFill="1" applyBorder="1" applyAlignment="1">
      <alignment horizontal="center"/>
    </xf>
    <xf numFmtId="165" fontId="1" fillId="3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6" fontId="0" fillId="0" borderId="7" xfId="0" applyNumberFormat="1" applyBorder="1" applyAlignment="1">
      <alignment horizontal="center"/>
    </xf>
    <xf numFmtId="43" fontId="3" fillId="3" borderId="5" xfId="1" applyFont="1" applyFill="1" applyBorder="1" applyAlignment="1">
      <alignment horizontal="center"/>
    </xf>
    <xf numFmtId="165" fontId="9" fillId="0" borderId="5" xfId="0" applyNumberFormat="1" applyFont="1" applyBorder="1" applyAlignment="1">
      <alignment horizontal="center"/>
    </xf>
    <xf numFmtId="43" fontId="0" fillId="0" borderId="0" xfId="1" applyFont="1"/>
    <xf numFmtId="165" fontId="9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165" fontId="10" fillId="0" borderId="5" xfId="0" applyNumberFormat="1" applyFont="1" applyBorder="1" applyAlignment="1">
      <alignment horizontal="center"/>
    </xf>
    <xf numFmtId="165" fontId="11" fillId="0" borderId="1" xfId="0" applyNumberFormat="1" applyFont="1" applyBorder="1" applyAlignment="1">
      <alignment horizontal="center"/>
    </xf>
    <xf numFmtId="165" fontId="11" fillId="0" borderId="11" xfId="0" applyNumberFormat="1" applyFont="1" applyBorder="1" applyAlignment="1">
      <alignment horizontal="center"/>
    </xf>
    <xf numFmtId="10" fontId="10" fillId="0" borderId="0" xfId="0" applyNumberFormat="1" applyFont="1" applyAlignment="1">
      <alignment horizontal="center"/>
    </xf>
    <xf numFmtId="10" fontId="10" fillId="0" borderId="5" xfId="0" applyNumberFormat="1" applyFont="1" applyBorder="1" applyAlignment="1">
      <alignment horizontal="center"/>
    </xf>
    <xf numFmtId="165" fontId="9" fillId="0" borderId="5" xfId="0" applyNumberFormat="1" applyFont="1" applyBorder="1" applyAlignment="1">
      <alignment horizontal="center" wrapText="1"/>
    </xf>
    <xf numFmtId="0" fontId="9" fillId="0" borderId="0" xfId="0" applyFont="1"/>
    <xf numFmtId="0" fontId="9" fillId="0" borderId="5" xfId="0" applyFont="1" applyBorder="1"/>
    <xf numFmtId="0" fontId="9" fillId="0" borderId="5" xfId="0" applyFont="1" applyBorder="1" applyAlignment="1">
      <alignment horizontal="center"/>
    </xf>
    <xf numFmtId="166" fontId="9" fillId="0" borderId="5" xfId="0" applyNumberFormat="1" applyFont="1" applyBorder="1" applyAlignment="1">
      <alignment horizontal="center"/>
    </xf>
    <xf numFmtId="166" fontId="9" fillId="0" borderId="8" xfId="0" applyNumberFormat="1" applyFont="1" applyBorder="1" applyAlignment="1">
      <alignment horizontal="center"/>
    </xf>
    <xf numFmtId="43" fontId="3" fillId="3" borderId="0" xfId="1" applyFont="1" applyFill="1" applyBorder="1" applyAlignment="1">
      <alignment horizontal="center"/>
    </xf>
    <xf numFmtId="165" fontId="9" fillId="0" borderId="7" xfId="0" applyNumberFormat="1" applyFont="1" applyBorder="1" applyAlignment="1">
      <alignment horizontal="center"/>
    </xf>
    <xf numFmtId="167" fontId="9" fillId="0" borderId="5" xfId="0" applyNumberFormat="1" applyFont="1" applyBorder="1" applyAlignment="1">
      <alignment horizontal="center"/>
    </xf>
    <xf numFmtId="0" fontId="4" fillId="3" borderId="6" xfId="0" applyFont="1" applyFill="1" applyBorder="1"/>
    <xf numFmtId="165" fontId="4" fillId="3" borderId="7" xfId="0" applyNumberFormat="1" applyFont="1" applyFill="1" applyBorder="1" applyAlignment="1">
      <alignment horizontal="center"/>
    </xf>
    <xf numFmtId="165" fontId="4" fillId="3" borderId="8" xfId="0" applyNumberFormat="1" applyFont="1" applyFill="1" applyBorder="1" applyAlignment="1">
      <alignment horizontal="center"/>
    </xf>
    <xf numFmtId="164" fontId="1" fillId="4" borderId="2" xfId="0" applyNumberFormat="1" applyFont="1" applyFill="1" applyBorder="1" applyAlignment="1">
      <alignment horizontal="left"/>
    </xf>
    <xf numFmtId="164" fontId="1" fillId="4" borderId="3" xfId="0" applyNumberFormat="1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166" fontId="9" fillId="0" borderId="0" xfId="0" applyNumberFormat="1" applyFont="1" applyAlignment="1">
      <alignment horizontal="center"/>
    </xf>
    <xf numFmtId="10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66" fontId="9" fillId="0" borderId="7" xfId="0" applyNumberFormat="1" applyFont="1" applyBorder="1" applyAlignment="1">
      <alignment horizontal="center"/>
    </xf>
    <xf numFmtId="0" fontId="0" fillId="0" borderId="3" xfId="0" applyBorder="1"/>
    <xf numFmtId="4" fontId="0" fillId="0" borderId="3" xfId="0" applyNumberFormat="1" applyBorder="1"/>
    <xf numFmtId="0" fontId="0" fillId="0" borderId="7" xfId="0" applyBorder="1"/>
    <xf numFmtId="43" fontId="9" fillId="0" borderId="5" xfId="1" applyFont="1" applyBorder="1" applyAlignment="1">
      <alignment horizontal="center"/>
    </xf>
    <xf numFmtId="165" fontId="9" fillId="0" borderId="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2" fontId="9" fillId="0" borderId="5" xfId="0" applyNumberFormat="1" applyFont="1" applyBorder="1" applyAlignment="1">
      <alignment horizontal="center" vertical="center"/>
    </xf>
    <xf numFmtId="43" fontId="9" fillId="0" borderId="5" xfId="1" applyFont="1" applyBorder="1" applyAlignment="1">
      <alignment horizontal="center" vertical="center"/>
    </xf>
    <xf numFmtId="0" fontId="2" fillId="5" borderId="4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4"/>
  <sheetViews>
    <sheetView showGridLines="0" tabSelected="1" zoomScale="85" zoomScaleNormal="85" workbookViewId="0">
      <selection sqref="A1:O1"/>
    </sheetView>
  </sheetViews>
  <sheetFormatPr defaultRowHeight="15"/>
  <cols>
    <col min="1" max="1" width="52.7109375" customWidth="1"/>
    <col min="2" max="7" width="10.5703125" style="2" customWidth="1"/>
    <col min="8" max="8" width="3.7109375" style="1" customWidth="1"/>
    <col min="9" max="9" width="59.7109375" customWidth="1"/>
    <col min="10" max="15" width="10.5703125" customWidth="1"/>
    <col min="16" max="16" width="16.7109375" bestFit="1" customWidth="1"/>
  </cols>
  <sheetData>
    <row r="1" spans="1:16" ht="15.75" thickBot="1">
      <c r="A1" s="84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6"/>
    </row>
    <row r="2" spans="1:16" ht="15.75" thickBot="1">
      <c r="A2" s="81" t="s">
        <v>1</v>
      </c>
      <c r="B2" s="82"/>
      <c r="C2" s="82"/>
      <c r="D2" s="82"/>
      <c r="E2" s="82"/>
      <c r="F2" s="82"/>
      <c r="G2" s="83"/>
      <c r="I2" s="87" t="s">
        <v>120</v>
      </c>
      <c r="J2" s="88"/>
      <c r="K2" s="88"/>
      <c r="L2" s="88"/>
      <c r="M2" s="88"/>
      <c r="N2" s="88"/>
      <c r="O2" s="89"/>
    </row>
    <row r="3" spans="1:16">
      <c r="A3" s="15" t="s">
        <v>2</v>
      </c>
      <c r="B3" s="14" t="s">
        <v>89</v>
      </c>
      <c r="C3" s="8">
        <v>22</v>
      </c>
      <c r="D3" s="8">
        <v>23</v>
      </c>
      <c r="E3" s="8">
        <v>24</v>
      </c>
      <c r="F3" s="14" t="s">
        <v>124</v>
      </c>
      <c r="G3" s="6" t="s">
        <v>131</v>
      </c>
      <c r="I3" s="7" t="s">
        <v>39</v>
      </c>
      <c r="J3" s="8" t="s">
        <v>89</v>
      </c>
      <c r="K3" s="8">
        <v>22</v>
      </c>
      <c r="L3" s="8">
        <v>23</v>
      </c>
      <c r="M3" s="8">
        <v>24</v>
      </c>
      <c r="N3" s="6" t="s">
        <v>124</v>
      </c>
      <c r="O3" s="6" t="s">
        <v>128</v>
      </c>
    </row>
    <row r="4" spans="1:16">
      <c r="A4" s="3" t="s">
        <v>3</v>
      </c>
      <c r="B4" s="9">
        <v>659.93499999999995</v>
      </c>
      <c r="C4" s="9">
        <v>1444.884</v>
      </c>
      <c r="D4" s="44">
        <v>2950.817</v>
      </c>
      <c r="E4" s="44">
        <v>3043.4520000000002</v>
      </c>
      <c r="F4" s="44">
        <v>3624.87</v>
      </c>
      <c r="G4" s="42">
        <v>2755.1190000000001</v>
      </c>
      <c r="I4" s="3" t="s">
        <v>40</v>
      </c>
      <c r="J4" s="9">
        <v>241.726</v>
      </c>
      <c r="K4" s="9">
        <v>241.726</v>
      </c>
      <c r="L4" s="44">
        <v>252.41399999999999</v>
      </c>
      <c r="M4" s="44">
        <v>264.95</v>
      </c>
      <c r="N4" s="42">
        <v>300.68600000000004</v>
      </c>
      <c r="O4" s="42">
        <v>300.68600000000004</v>
      </c>
    </row>
    <row r="5" spans="1:16">
      <c r="A5" s="16" t="s">
        <v>4</v>
      </c>
      <c r="B5" s="17" t="s">
        <v>88</v>
      </c>
      <c r="C5" s="18">
        <f>C4/B4-1</f>
        <v>1.1894338078750182</v>
      </c>
      <c r="D5" s="18">
        <f>D4/C4-1</f>
        <v>1.0422518347493641</v>
      </c>
      <c r="E5" s="18">
        <f>E4/D4-1</f>
        <v>3.1393000650328462E-2</v>
      </c>
      <c r="F5" s="18">
        <f>F4/E4-1</f>
        <v>0.19103899125072443</v>
      </c>
      <c r="G5" s="41">
        <v>0</v>
      </c>
      <c r="I5" s="3" t="s">
        <v>41</v>
      </c>
      <c r="J5" s="9">
        <v>-1829.1890000000001</v>
      </c>
      <c r="K5" s="9">
        <v>-2053.3969999999999</v>
      </c>
      <c r="L5" s="44">
        <v>1288.4749999999999</v>
      </c>
      <c r="M5" s="44">
        <v>1791.3710000000001</v>
      </c>
      <c r="N5" s="42">
        <v>2483.904</v>
      </c>
      <c r="O5" s="42">
        <v>2515.3589999999999</v>
      </c>
    </row>
    <row r="6" spans="1:16">
      <c r="A6" s="16" t="s">
        <v>5</v>
      </c>
      <c r="B6" s="17" t="s">
        <v>88</v>
      </c>
      <c r="C6" s="17" t="s">
        <v>88</v>
      </c>
      <c r="D6" s="17" t="s">
        <v>88</v>
      </c>
      <c r="E6" s="18">
        <f>((E4/B4)^(1/3))-1</f>
        <v>0.66451775313724903</v>
      </c>
      <c r="F6" s="18">
        <f>((F4/C4)^(1/3))-1</f>
        <v>0.3587925321265184</v>
      </c>
      <c r="G6" s="41">
        <v>0</v>
      </c>
      <c r="I6" s="3" t="s">
        <v>42</v>
      </c>
      <c r="J6" s="9">
        <v>0</v>
      </c>
      <c r="K6" s="9">
        <v>0</v>
      </c>
      <c r="L6" s="44">
        <v>0</v>
      </c>
      <c r="M6" s="44">
        <v>0</v>
      </c>
      <c r="N6" s="42">
        <v>0</v>
      </c>
      <c r="O6" s="42">
        <v>137.82499999999999</v>
      </c>
    </row>
    <row r="7" spans="1:16">
      <c r="A7" s="19" t="s">
        <v>6</v>
      </c>
      <c r="B7" s="9">
        <f>SUM(B8:B12)</f>
        <v>571.399</v>
      </c>
      <c r="C7" s="9">
        <f t="shared" ref="C7" si="0">SUM(C8:C12)</f>
        <v>1078.1089999999999</v>
      </c>
      <c r="D7" s="9">
        <f>SUM(D8:D12)</f>
        <v>1862.5459999999998</v>
      </c>
      <c r="E7" s="44">
        <f>SUM(E8:E12)</f>
        <v>2135.473</v>
      </c>
      <c r="F7" s="44">
        <f>SUM(F8:F12)</f>
        <v>2578.0119999999997</v>
      </c>
      <c r="G7" s="42">
        <f>SUM(G8:G12)</f>
        <v>2105.6840000000002</v>
      </c>
      <c r="I7" s="10" t="s">
        <v>43</v>
      </c>
      <c r="J7" s="34">
        <f>SUM(J4:J6)</f>
        <v>-1587.4630000000002</v>
      </c>
      <c r="K7" s="34">
        <f t="shared" ref="K7:N7" si="1">SUM(K4:K6)</f>
        <v>-1811.6709999999998</v>
      </c>
      <c r="L7" s="34">
        <f t="shared" si="1"/>
        <v>1540.8889999999999</v>
      </c>
      <c r="M7" s="34">
        <f t="shared" si="1"/>
        <v>2056.3209999999999</v>
      </c>
      <c r="N7" s="35">
        <f t="shared" si="1"/>
        <v>2784.59</v>
      </c>
      <c r="O7" s="35">
        <f t="shared" ref="O7" si="2">SUM(O4:O6)</f>
        <v>2953.87</v>
      </c>
    </row>
    <row r="8" spans="1:16">
      <c r="A8" s="3" t="s">
        <v>7</v>
      </c>
      <c r="B8" s="9">
        <v>67.081999999999994</v>
      </c>
      <c r="C8" s="9">
        <v>149.351</v>
      </c>
      <c r="D8" s="9">
        <v>240.69800000000001</v>
      </c>
      <c r="E8" s="44">
        <v>264.32799999999997</v>
      </c>
      <c r="F8" s="44">
        <v>308.39</v>
      </c>
      <c r="G8" s="42">
        <v>246.62100000000001</v>
      </c>
      <c r="I8" s="3"/>
      <c r="J8" s="9"/>
      <c r="K8" s="9"/>
      <c r="L8" s="9"/>
      <c r="M8" s="9"/>
      <c r="N8" s="11"/>
      <c r="O8" s="11"/>
    </row>
    <row r="9" spans="1:16">
      <c r="A9" s="3" t="s">
        <v>8</v>
      </c>
      <c r="B9" s="9">
        <v>153.31</v>
      </c>
      <c r="C9" s="9">
        <v>313.81299999999999</v>
      </c>
      <c r="D9" s="9">
        <v>491.06299999999999</v>
      </c>
      <c r="E9" s="44">
        <v>607.67999999999995</v>
      </c>
      <c r="F9" s="44">
        <v>735.64300000000003</v>
      </c>
      <c r="G9" s="42">
        <v>664.74699999999996</v>
      </c>
      <c r="I9" s="3" t="s">
        <v>44</v>
      </c>
      <c r="J9" s="9">
        <v>641.94899999999996</v>
      </c>
      <c r="K9" s="9">
        <v>397.27600000000001</v>
      </c>
      <c r="L9" s="44">
        <v>1887.0219999999999</v>
      </c>
      <c r="M9" s="44">
        <v>1910.63</v>
      </c>
      <c r="N9" s="42">
        <v>1244.5119999999999</v>
      </c>
      <c r="O9" s="42">
        <v>1153.1089999999999</v>
      </c>
    </row>
    <row r="10" spans="1:16">
      <c r="A10" s="3" t="s">
        <v>9</v>
      </c>
      <c r="B10" s="9"/>
      <c r="C10" s="9"/>
      <c r="D10" s="9"/>
      <c r="E10" s="44"/>
      <c r="F10" s="44"/>
      <c r="G10" s="42"/>
      <c r="I10" s="3" t="s">
        <v>45</v>
      </c>
      <c r="J10" s="9">
        <v>3863.74</v>
      </c>
      <c r="K10" s="9">
        <v>4012.489</v>
      </c>
      <c r="L10" s="44">
        <v>1386.405</v>
      </c>
      <c r="M10" s="44">
        <v>87.602000000000004</v>
      </c>
      <c r="N10" s="42">
        <v>31.853000000000002</v>
      </c>
      <c r="O10" s="42">
        <v>0</v>
      </c>
    </row>
    <row r="11" spans="1:16">
      <c r="A11" s="20" t="s">
        <v>10</v>
      </c>
      <c r="B11" s="28">
        <v>70.248000000000005</v>
      </c>
      <c r="C11" s="28">
        <v>116.54300000000001</v>
      </c>
      <c r="D11" s="28">
        <v>167.20599999999999</v>
      </c>
      <c r="E11" s="45">
        <v>177.85</v>
      </c>
      <c r="F11" s="45">
        <v>214.327</v>
      </c>
      <c r="G11" s="46">
        <v>156.16499999999999</v>
      </c>
      <c r="I11" s="3" t="s">
        <v>95</v>
      </c>
      <c r="J11" s="9">
        <f>SUM(J9:J10)</f>
        <v>4505.6889999999994</v>
      </c>
      <c r="K11" s="9">
        <f t="shared" ref="K11:M11" si="3">SUM(K9:K10)</f>
        <v>4409.7650000000003</v>
      </c>
      <c r="L11" s="44">
        <f t="shared" si="3"/>
        <v>3273.4269999999997</v>
      </c>
      <c r="M11" s="44">
        <f t="shared" si="3"/>
        <v>1998.2320000000002</v>
      </c>
      <c r="N11" s="42">
        <f>(SUM(N9:N10))</f>
        <v>1276.365</v>
      </c>
      <c r="O11" s="42">
        <f>(SUM(O9:O10))</f>
        <v>1153.1089999999999</v>
      </c>
    </row>
    <row r="12" spans="1:16">
      <c r="A12" s="20" t="s">
        <v>11</v>
      </c>
      <c r="B12" s="28">
        <v>280.75900000000001</v>
      </c>
      <c r="C12" s="28">
        <v>498.40199999999999</v>
      </c>
      <c r="D12" s="28">
        <v>963.57899999999995</v>
      </c>
      <c r="E12" s="45">
        <v>1085.615</v>
      </c>
      <c r="F12" s="45">
        <v>1319.652</v>
      </c>
      <c r="G12" s="46">
        <v>1038.1510000000001</v>
      </c>
      <c r="I12" s="10" t="s">
        <v>118</v>
      </c>
      <c r="J12" s="34">
        <f t="shared" ref="J12:O12" si="4">J7+J68+J9</f>
        <v>-532.44800000000021</v>
      </c>
      <c r="K12" s="34">
        <f t="shared" si="4"/>
        <v>-1080.7519999999997</v>
      </c>
      <c r="L12" s="34">
        <f t="shared" si="4"/>
        <v>3795.4809999999998</v>
      </c>
      <c r="M12" s="34">
        <f t="shared" si="4"/>
        <v>4858.5410000000002</v>
      </c>
      <c r="N12" s="35">
        <f t="shared" si="4"/>
        <v>5137.152</v>
      </c>
      <c r="O12" s="35">
        <f t="shared" si="4"/>
        <v>5884.5709999999999</v>
      </c>
    </row>
    <row r="13" spans="1:16">
      <c r="A13" s="3"/>
      <c r="B13" s="9"/>
      <c r="C13" s="9"/>
      <c r="D13" s="9"/>
      <c r="E13" s="44"/>
      <c r="F13" s="44"/>
      <c r="G13" s="42" t="s">
        <v>129</v>
      </c>
      <c r="I13" s="10" t="s">
        <v>119</v>
      </c>
      <c r="J13" s="34">
        <f t="shared" ref="J13:O13" si="5">J70-J56-J10</f>
        <v>-532.44800000000032</v>
      </c>
      <c r="K13" s="34">
        <f t="shared" si="5"/>
        <v>-1080.7539999999995</v>
      </c>
      <c r="L13" s="34">
        <f t="shared" si="5"/>
        <v>3795.4810000000007</v>
      </c>
      <c r="M13" s="34">
        <f t="shared" si="5"/>
        <v>4858.5409999999993</v>
      </c>
      <c r="N13" s="35">
        <f t="shared" si="5"/>
        <v>5137.152</v>
      </c>
      <c r="O13" s="35">
        <f t="shared" si="5"/>
        <v>5884.5700000000006</v>
      </c>
      <c r="P13" s="43">
        <f>M12-M13</f>
        <v>0</v>
      </c>
    </row>
    <row r="14" spans="1:16">
      <c r="A14" s="21" t="s">
        <v>12</v>
      </c>
      <c r="B14" s="29">
        <f>B4-B7</f>
        <v>88.535999999999945</v>
      </c>
      <c r="C14" s="29">
        <f t="shared" ref="C14:E14" si="6">C4-C7</f>
        <v>366.77500000000009</v>
      </c>
      <c r="D14" s="29">
        <f t="shared" si="6"/>
        <v>1088.2710000000002</v>
      </c>
      <c r="E14" s="47">
        <f t="shared" si="6"/>
        <v>907.97900000000027</v>
      </c>
      <c r="F14" s="47">
        <f>F4-F7</f>
        <v>1046.8580000000002</v>
      </c>
      <c r="G14" s="48">
        <f>G4-G7</f>
        <v>649.43499999999995</v>
      </c>
      <c r="I14" s="3"/>
      <c r="J14" s="9"/>
      <c r="K14" s="9"/>
      <c r="L14" s="9"/>
      <c r="M14" s="9"/>
      <c r="N14" s="11"/>
      <c r="O14" s="11"/>
    </row>
    <row r="15" spans="1:16">
      <c r="A15" s="16" t="s">
        <v>13</v>
      </c>
      <c r="B15" s="18">
        <f>B14/B4</f>
        <v>0.13415866714146082</v>
      </c>
      <c r="C15" s="18">
        <f t="shared" ref="C15:E15" si="7">C14/C4</f>
        <v>0.25384390719254979</v>
      </c>
      <c r="D15" s="18">
        <f t="shared" si="7"/>
        <v>0.36880328397186279</v>
      </c>
      <c r="E15" s="18">
        <f t="shared" si="7"/>
        <v>0.29833853137818511</v>
      </c>
      <c r="F15" s="18">
        <f>F14/F4</f>
        <v>0.28879877071453602</v>
      </c>
      <c r="G15" s="22">
        <f>G14/G4</f>
        <v>0.23571940086798426</v>
      </c>
      <c r="I15" s="3" t="s">
        <v>46</v>
      </c>
      <c r="J15" s="9"/>
      <c r="K15" s="9"/>
      <c r="L15" s="44"/>
      <c r="M15" s="44"/>
      <c r="N15" s="42"/>
      <c r="O15" s="42"/>
    </row>
    <row r="16" spans="1:16">
      <c r="A16" s="16" t="s">
        <v>4</v>
      </c>
      <c r="B16" s="17" t="s">
        <v>88</v>
      </c>
      <c r="C16" s="18">
        <f>C14/B14-1</f>
        <v>3.1426651305683597</v>
      </c>
      <c r="D16" s="18">
        <f t="shared" ref="D16:E16" si="8">D14/C14-1</f>
        <v>1.9671351646104558</v>
      </c>
      <c r="E16" s="18">
        <f t="shared" si="8"/>
        <v>-0.16566829401867722</v>
      </c>
      <c r="F16" s="18">
        <f>F14/E14-1</f>
        <v>0.15295397801050448</v>
      </c>
      <c r="G16" s="41">
        <v>0</v>
      </c>
      <c r="I16" s="3" t="s">
        <v>47</v>
      </c>
      <c r="J16" s="9">
        <v>3234.328</v>
      </c>
      <c r="K16" s="9">
        <v>3170.2710000000002</v>
      </c>
      <c r="L16" s="44">
        <v>3341.5390000000002</v>
      </c>
      <c r="M16" s="44">
        <v>3235.4859999999999</v>
      </c>
      <c r="N16" s="42">
        <v>3236.3649999999998</v>
      </c>
      <c r="O16" s="42">
        <v>3378.7359999999999</v>
      </c>
    </row>
    <row r="17" spans="1:15">
      <c r="A17" s="16" t="s">
        <v>5</v>
      </c>
      <c r="B17" s="17" t="s">
        <v>88</v>
      </c>
      <c r="C17" s="18" t="s">
        <v>88</v>
      </c>
      <c r="D17" s="18" t="s">
        <v>88</v>
      </c>
      <c r="E17" s="18">
        <f>((E14/B14)^(1/3))-1</f>
        <v>1.1726276505414979</v>
      </c>
      <c r="F17" s="18">
        <f>((F14/C14)^(1/3))-1</f>
        <v>0.41850003274351733</v>
      </c>
      <c r="G17" s="41">
        <v>0</v>
      </c>
      <c r="I17" s="3" t="s">
        <v>48</v>
      </c>
      <c r="J17" s="9">
        <v>62.804000000000002</v>
      </c>
      <c r="K17" s="9">
        <v>14.45</v>
      </c>
      <c r="L17" s="44">
        <v>15.564</v>
      </c>
      <c r="M17" s="44">
        <v>35.457000000000001</v>
      </c>
      <c r="N17" s="42">
        <v>76.308000000000007</v>
      </c>
      <c r="O17" s="42">
        <v>157.14400000000001</v>
      </c>
    </row>
    <row r="18" spans="1:15">
      <c r="A18" s="3"/>
      <c r="B18"/>
      <c r="C18"/>
      <c r="D18"/>
      <c r="E18"/>
      <c r="F18"/>
      <c r="G18" s="4"/>
      <c r="I18" s="3" t="s">
        <v>96</v>
      </c>
      <c r="J18" s="9">
        <v>212.006</v>
      </c>
      <c r="K18" s="9">
        <v>206.917</v>
      </c>
      <c r="L18" s="44">
        <v>201.827</v>
      </c>
      <c r="M18" s="44">
        <v>613.50099999999998</v>
      </c>
      <c r="N18" s="42">
        <v>696.37300000000005</v>
      </c>
      <c r="O18" s="42">
        <v>1324.7470000000001</v>
      </c>
    </row>
    <row r="19" spans="1:15">
      <c r="A19" s="3" t="s">
        <v>14</v>
      </c>
      <c r="B19" s="9">
        <v>15.004</v>
      </c>
      <c r="C19" s="9">
        <v>11.411</v>
      </c>
      <c r="D19" s="9">
        <v>38.798000000000002</v>
      </c>
      <c r="E19" s="44">
        <v>109.925</v>
      </c>
      <c r="F19" s="44">
        <v>78.465000000000003</v>
      </c>
      <c r="G19" s="42">
        <v>54.243000000000002</v>
      </c>
      <c r="I19" s="3" t="s">
        <v>97</v>
      </c>
      <c r="J19" s="9">
        <v>101.628</v>
      </c>
      <c r="K19" s="9">
        <v>99.256</v>
      </c>
      <c r="L19" s="44">
        <v>83.46</v>
      </c>
      <c r="M19" s="44">
        <v>81.097999999999999</v>
      </c>
      <c r="N19" s="42">
        <v>78.742000000000004</v>
      </c>
      <c r="O19" s="42">
        <v>77.561000000000007</v>
      </c>
    </row>
    <row r="20" spans="1:15" ht="15.75" customHeight="1">
      <c r="A20" s="3" t="s">
        <v>127</v>
      </c>
      <c r="B20" s="9">
        <v>175.441</v>
      </c>
      <c r="C20" s="9">
        <v>170.21600000000001</v>
      </c>
      <c r="D20" s="9">
        <v>154.798</v>
      </c>
      <c r="E20" s="44">
        <v>176.761</v>
      </c>
      <c r="F20" s="44">
        <v>197.97</v>
      </c>
      <c r="G20" s="42">
        <v>205.21100000000001</v>
      </c>
      <c r="I20" s="3" t="s">
        <v>49</v>
      </c>
      <c r="J20" s="9">
        <v>8.8450000000000006</v>
      </c>
      <c r="K20" s="9">
        <v>7.867</v>
      </c>
      <c r="L20" s="44">
        <v>6.2249999999999996</v>
      </c>
      <c r="M20" s="44">
        <v>6.97</v>
      </c>
      <c r="N20" s="51">
        <v>6.18</v>
      </c>
      <c r="O20" s="51">
        <v>7.35</v>
      </c>
    </row>
    <row r="21" spans="1:15">
      <c r="A21" s="3" t="s">
        <v>15</v>
      </c>
      <c r="B21" s="9">
        <v>417.78500000000003</v>
      </c>
      <c r="C21" s="9">
        <v>504.51900000000001</v>
      </c>
      <c r="D21" s="9">
        <v>220.51499999999999</v>
      </c>
      <c r="E21" s="44">
        <v>605.53200000000004</v>
      </c>
      <c r="F21" s="44">
        <v>299.935</v>
      </c>
      <c r="G21" s="42">
        <v>188.096</v>
      </c>
      <c r="I21" s="3" t="s">
        <v>126</v>
      </c>
      <c r="J21" s="9" t="s">
        <v>88</v>
      </c>
      <c r="K21" s="9" t="s">
        <v>88</v>
      </c>
      <c r="L21" s="44" t="s">
        <v>88</v>
      </c>
      <c r="M21" s="44" t="s">
        <v>88</v>
      </c>
      <c r="N21" s="51">
        <v>1.85</v>
      </c>
      <c r="O21" s="51">
        <v>1.85</v>
      </c>
    </row>
    <row r="22" spans="1:15">
      <c r="A22" s="3" t="s">
        <v>16</v>
      </c>
      <c r="B22" s="9">
        <v>-6.718</v>
      </c>
      <c r="C22" s="9">
        <v>-4.133</v>
      </c>
      <c r="D22" s="9">
        <v>27.315999999999999</v>
      </c>
      <c r="E22" s="44">
        <v>8.4280000000000008</v>
      </c>
      <c r="F22" s="44">
        <v>2.7759999999999998</v>
      </c>
      <c r="G22" s="59">
        <v>0</v>
      </c>
      <c r="I22" s="3" t="s">
        <v>50</v>
      </c>
      <c r="J22" s="9"/>
      <c r="K22" s="9"/>
      <c r="L22" s="44"/>
      <c r="M22" s="52"/>
      <c r="N22" s="53"/>
      <c r="O22" s="53"/>
    </row>
    <row r="23" spans="1:15">
      <c r="A23" s="3" t="s">
        <v>93</v>
      </c>
      <c r="B23" s="9">
        <v>37.317</v>
      </c>
      <c r="C23" s="9">
        <v>0</v>
      </c>
      <c r="D23" s="9">
        <v>2383.6</v>
      </c>
      <c r="E23" s="44">
        <v>295.24400000000003</v>
      </c>
      <c r="F23" s="44">
        <v>23.84</v>
      </c>
      <c r="G23" s="42">
        <v>-7.6719999999999997</v>
      </c>
      <c r="I23" s="12" t="s">
        <v>98</v>
      </c>
      <c r="J23" s="9">
        <v>4.133</v>
      </c>
      <c r="K23" s="9">
        <v>0</v>
      </c>
      <c r="L23" s="44">
        <v>27.315999999999999</v>
      </c>
      <c r="M23" s="44">
        <v>35.744</v>
      </c>
      <c r="N23" s="42">
        <v>38.520000000000003</v>
      </c>
      <c r="O23" s="42" t="s">
        <v>88</v>
      </c>
    </row>
    <row r="24" spans="1:15">
      <c r="A24" s="23" t="s">
        <v>17</v>
      </c>
      <c r="B24" s="33">
        <f t="shared" ref="B24:F24" si="9">B14+B19-SUM(B20:B21)+B22+B23</f>
        <v>-459.08700000000005</v>
      </c>
      <c r="C24" s="33">
        <f t="shared" si="9"/>
        <v>-300.6819999999999</v>
      </c>
      <c r="D24" s="33">
        <f t="shared" si="9"/>
        <v>3162.672</v>
      </c>
      <c r="E24" s="33">
        <f t="shared" si="9"/>
        <v>539.28300000000024</v>
      </c>
      <c r="F24" s="33">
        <f t="shared" si="9"/>
        <v>654.03400000000011</v>
      </c>
      <c r="G24" s="35">
        <f>G14+G19-SUM(G20:G21)+G22+G23</f>
        <v>302.69899999999996</v>
      </c>
      <c r="I24" s="12" t="s">
        <v>99</v>
      </c>
      <c r="J24" s="9">
        <v>1.966</v>
      </c>
      <c r="K24" s="9">
        <v>1.772</v>
      </c>
      <c r="L24" s="44">
        <v>1.798</v>
      </c>
      <c r="M24" s="44">
        <v>2.036</v>
      </c>
      <c r="N24" s="42">
        <v>1.873</v>
      </c>
      <c r="O24" s="42">
        <v>1.879</v>
      </c>
    </row>
    <row r="25" spans="1:15">
      <c r="A25" s="3" t="s">
        <v>18</v>
      </c>
      <c r="B25" s="9">
        <v>-96.147999999999996</v>
      </c>
      <c r="C25" s="9">
        <v>-73.963999999999999</v>
      </c>
      <c r="D25" s="9">
        <v>33.844999999999999</v>
      </c>
      <c r="E25" s="44">
        <v>90.81</v>
      </c>
      <c r="F25" s="44">
        <v>188.2</v>
      </c>
      <c r="G25" s="42">
        <v>91.744</v>
      </c>
      <c r="I25" s="12" t="s">
        <v>100</v>
      </c>
      <c r="J25" s="9">
        <v>0</v>
      </c>
      <c r="K25" s="9">
        <v>0</v>
      </c>
      <c r="L25" s="44">
        <v>355</v>
      </c>
      <c r="M25" s="44">
        <v>288.31099999999998</v>
      </c>
      <c r="N25" s="42">
        <v>191.983</v>
      </c>
      <c r="O25" s="42">
        <v>129.89500000000001</v>
      </c>
    </row>
    <row r="26" spans="1:15">
      <c r="A26" s="24" t="s">
        <v>19</v>
      </c>
      <c r="B26" s="30">
        <f>B25/B24</f>
        <v>0.20943307042020354</v>
      </c>
      <c r="C26" s="30">
        <f>C25/C24</f>
        <v>0.24598745518521237</v>
      </c>
      <c r="D26" s="30">
        <f t="shared" ref="D26:E26" si="10">D25/D24</f>
        <v>1.0701394264090617E-2</v>
      </c>
      <c r="E26" s="49">
        <f t="shared" si="10"/>
        <v>0.16839025150060349</v>
      </c>
      <c r="F26" s="49">
        <f>F25/F24</f>
        <v>0.28775262448129602</v>
      </c>
      <c r="G26" s="50">
        <f>G25/G24</f>
        <v>0.30308656454101274</v>
      </c>
      <c r="I26" s="12" t="s">
        <v>101</v>
      </c>
      <c r="J26" s="9">
        <v>210.75200000000001</v>
      </c>
      <c r="K26" s="9">
        <v>223.416</v>
      </c>
      <c r="L26" s="44">
        <v>231.7</v>
      </c>
      <c r="M26" s="44">
        <v>305.75200000000001</v>
      </c>
      <c r="N26" s="42">
        <v>98.313000000000002</v>
      </c>
      <c r="O26" s="42">
        <v>104.13</v>
      </c>
    </row>
    <row r="27" spans="1:15">
      <c r="A27" s="3" t="s">
        <v>20</v>
      </c>
      <c r="B27" s="9">
        <f>B24-B25</f>
        <v>-362.93900000000008</v>
      </c>
      <c r="C27" s="9">
        <f t="shared" ref="C27:F27" si="11">C24-C25</f>
        <v>-226.7179999999999</v>
      </c>
      <c r="D27" s="9">
        <f t="shared" si="11"/>
        <v>3128.8270000000002</v>
      </c>
      <c r="E27" s="44">
        <f t="shared" si="11"/>
        <v>448.47300000000024</v>
      </c>
      <c r="F27" s="44">
        <f t="shared" si="11"/>
        <v>465.83400000000012</v>
      </c>
      <c r="G27" s="42">
        <f>G24-G25</f>
        <v>210.95499999999996</v>
      </c>
      <c r="I27" s="3" t="s">
        <v>102</v>
      </c>
      <c r="J27" s="9">
        <v>113.295</v>
      </c>
      <c r="K27" s="9">
        <v>121.73</v>
      </c>
      <c r="L27" s="44">
        <v>158.226</v>
      </c>
      <c r="M27" s="44">
        <v>208.89699999999999</v>
      </c>
      <c r="N27" s="42">
        <v>132.71799999999999</v>
      </c>
      <c r="O27" s="42">
        <v>99.605000000000004</v>
      </c>
    </row>
    <row r="28" spans="1:15">
      <c r="A28" s="16" t="s">
        <v>21</v>
      </c>
      <c r="B28" s="18">
        <f>B27/B4</f>
        <v>-0.54996173865607989</v>
      </c>
      <c r="C28" s="18">
        <f t="shared" ref="C28:E28" si="12">C27/C4</f>
        <v>-0.15691086620102368</v>
      </c>
      <c r="D28" s="18">
        <f t="shared" si="12"/>
        <v>1.0603256657393529</v>
      </c>
      <c r="E28" s="18">
        <f t="shared" si="12"/>
        <v>0.14735668576340294</v>
      </c>
      <c r="F28" s="18">
        <f>F27/F4</f>
        <v>0.12851053968831988</v>
      </c>
      <c r="G28" s="22">
        <f>G27/G4</f>
        <v>7.6568380530931679E-2</v>
      </c>
      <c r="I28" s="3" t="s">
        <v>51</v>
      </c>
      <c r="J28" s="9">
        <v>411.471</v>
      </c>
      <c r="K28" s="9">
        <v>399.74299999999999</v>
      </c>
      <c r="L28" s="44">
        <v>378.44400000000002</v>
      </c>
      <c r="M28" s="44">
        <v>514.96799999999996</v>
      </c>
      <c r="N28" s="42">
        <v>675.87599999999998</v>
      </c>
      <c r="O28" s="42">
        <v>559.27599999999995</v>
      </c>
    </row>
    <row r="29" spans="1:15">
      <c r="A29" s="16" t="s">
        <v>4</v>
      </c>
      <c r="B29" s="17" t="s">
        <v>88</v>
      </c>
      <c r="C29" s="18">
        <f>C27/B27-1</f>
        <v>-0.37532753437905586</v>
      </c>
      <c r="D29" s="18">
        <f t="shared" ref="D29:E29" si="13">D27/C27-1</f>
        <v>-14.80052311682355</v>
      </c>
      <c r="E29" s="18">
        <f t="shared" si="13"/>
        <v>-0.85666417478499124</v>
      </c>
      <c r="F29" s="18">
        <f>F27/E27-1</f>
        <v>3.8711360550133245E-2</v>
      </c>
      <c r="G29" s="41">
        <v>0</v>
      </c>
      <c r="I29" s="3"/>
      <c r="J29" s="9"/>
      <c r="K29" s="9"/>
      <c r="L29" s="9"/>
      <c r="M29" s="9"/>
      <c r="N29" s="11"/>
      <c r="O29" s="11"/>
    </row>
    <row r="30" spans="1:15">
      <c r="A30" s="16" t="s">
        <v>5</v>
      </c>
      <c r="B30" s="17" t="s">
        <v>88</v>
      </c>
      <c r="C30" s="18" t="s">
        <v>88</v>
      </c>
      <c r="D30" s="18" t="s">
        <v>88</v>
      </c>
      <c r="E30" s="18" t="s">
        <v>123</v>
      </c>
      <c r="F30" s="18" t="s">
        <v>123</v>
      </c>
      <c r="G30" s="41">
        <v>0</v>
      </c>
      <c r="I30" s="10" t="s">
        <v>103</v>
      </c>
      <c r="J30" s="34">
        <f t="shared" ref="J30:O30" si="14">SUM(J16:J28)</f>
        <v>4361.2279999999992</v>
      </c>
      <c r="K30" s="34">
        <f t="shared" si="14"/>
        <v>4245.4220000000005</v>
      </c>
      <c r="L30" s="34">
        <f t="shared" si="14"/>
        <v>4801.0990000000002</v>
      </c>
      <c r="M30" s="34">
        <f t="shared" si="14"/>
        <v>5328.2199999999993</v>
      </c>
      <c r="N30" s="35">
        <f t="shared" si="14"/>
        <v>5235.1009999999997</v>
      </c>
      <c r="O30" s="35">
        <f t="shared" si="14"/>
        <v>5842.1730000000007</v>
      </c>
    </row>
    <row r="31" spans="1:15">
      <c r="A31" s="3"/>
      <c r="G31" s="25"/>
      <c r="I31" s="3"/>
      <c r="J31" s="9"/>
      <c r="K31" s="9"/>
      <c r="L31" s="9"/>
      <c r="M31" s="9"/>
      <c r="N31" s="11"/>
      <c r="O31" s="11"/>
    </row>
    <row r="32" spans="1:15">
      <c r="A32" s="3" t="s">
        <v>90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42">
        <v>0.14499999999999999</v>
      </c>
      <c r="I32" s="3" t="s">
        <v>52</v>
      </c>
      <c r="J32" s="9"/>
      <c r="K32" s="9"/>
      <c r="L32" s="9"/>
      <c r="M32" s="9"/>
      <c r="N32" s="11"/>
      <c r="O32" s="11"/>
    </row>
    <row r="33" spans="1:16">
      <c r="A33" s="3" t="s">
        <v>22</v>
      </c>
      <c r="B33" s="9">
        <v>5.3849999999999998</v>
      </c>
      <c r="C33" s="9">
        <v>2.5099999999999998</v>
      </c>
      <c r="D33" s="9">
        <v>2.99</v>
      </c>
      <c r="E33" s="44">
        <v>2.86</v>
      </c>
      <c r="F33" s="44">
        <v>2.4470000000000001</v>
      </c>
      <c r="G33" s="42">
        <v>2.819</v>
      </c>
      <c r="I33" s="3" t="s">
        <v>53</v>
      </c>
      <c r="J33" s="9">
        <v>18.707999999999998</v>
      </c>
      <c r="K33" s="9">
        <v>21.802</v>
      </c>
      <c r="L33" s="9">
        <v>36.527999999999999</v>
      </c>
      <c r="M33" s="44">
        <v>42.436</v>
      </c>
      <c r="N33" s="42">
        <v>46.683999999999997</v>
      </c>
      <c r="O33" s="42">
        <v>52.320999999999998</v>
      </c>
      <c r="P33" s="52"/>
    </row>
    <row r="34" spans="1:16">
      <c r="A34" s="3" t="s">
        <v>23</v>
      </c>
      <c r="B34" s="9">
        <f>B33+B32+B27</f>
        <v>-357.55400000000009</v>
      </c>
      <c r="C34" s="9">
        <f t="shared" ref="C34:E34" si="15">C33+C32+C27</f>
        <v>-224.20799999999991</v>
      </c>
      <c r="D34" s="9">
        <f t="shared" si="15"/>
        <v>3131.817</v>
      </c>
      <c r="E34" s="44">
        <f t="shared" si="15"/>
        <v>451.33300000000025</v>
      </c>
      <c r="F34" s="44">
        <f>F33+F32+F27</f>
        <v>468.28100000000012</v>
      </c>
      <c r="G34" s="42">
        <f>G33+G32+G27</f>
        <v>213.91899999999995</v>
      </c>
      <c r="I34" s="3" t="s">
        <v>50</v>
      </c>
      <c r="J34" s="9"/>
      <c r="K34" s="9"/>
      <c r="L34" s="9"/>
      <c r="M34" s="44"/>
      <c r="N34" s="42"/>
      <c r="O34" s="42"/>
      <c r="P34" s="52"/>
    </row>
    <row r="35" spans="1:16">
      <c r="A35" s="16" t="s">
        <v>4</v>
      </c>
      <c r="B35" s="17" t="s">
        <v>88</v>
      </c>
      <c r="C35" s="18">
        <f>C34/B34-1</f>
        <v>-0.37293947207974221</v>
      </c>
      <c r="D35" s="18">
        <f>D34/C34-1</f>
        <v>-14.968355277242566</v>
      </c>
      <c r="E35" s="18">
        <f>E34/D34-1</f>
        <v>-0.85588781209119169</v>
      </c>
      <c r="F35" s="18">
        <f>F34/E34-1</f>
        <v>3.7550987851541651E-2</v>
      </c>
      <c r="G35" s="41">
        <v>0</v>
      </c>
      <c r="I35" s="12" t="s">
        <v>104</v>
      </c>
      <c r="J35" s="9">
        <v>0.52800000000000002</v>
      </c>
      <c r="K35" s="9">
        <v>0.66</v>
      </c>
      <c r="L35" s="9">
        <v>0.755</v>
      </c>
      <c r="M35" s="44">
        <v>1.411</v>
      </c>
      <c r="N35" s="42">
        <v>1.4950000000000001</v>
      </c>
      <c r="O35" s="42">
        <v>1.615</v>
      </c>
      <c r="P35" s="52"/>
    </row>
    <row r="36" spans="1:16">
      <c r="A36" s="16" t="s">
        <v>5</v>
      </c>
      <c r="B36" s="17" t="s">
        <v>88</v>
      </c>
      <c r="C36" s="17" t="s">
        <v>88</v>
      </c>
      <c r="D36" s="17" t="s">
        <v>88</v>
      </c>
      <c r="E36" s="18" t="s">
        <v>123</v>
      </c>
      <c r="F36" s="57" t="s">
        <v>123</v>
      </c>
      <c r="G36" s="41">
        <v>0</v>
      </c>
      <c r="I36" s="12" t="s">
        <v>105</v>
      </c>
      <c r="J36" s="9">
        <v>56.753999999999998</v>
      </c>
      <c r="K36" s="9">
        <v>98.629000000000005</v>
      </c>
      <c r="L36" s="9">
        <v>88.176000000000002</v>
      </c>
      <c r="M36" s="44">
        <v>87.277000000000001</v>
      </c>
      <c r="N36" s="54">
        <v>87.376000000000005</v>
      </c>
      <c r="O36" s="76">
        <v>106.843</v>
      </c>
      <c r="P36" s="52"/>
    </row>
    <row r="37" spans="1:16">
      <c r="A37" s="3" t="s">
        <v>91</v>
      </c>
      <c r="G37" s="25"/>
      <c r="I37" s="12" t="s">
        <v>106</v>
      </c>
      <c r="J37" s="9"/>
      <c r="K37" s="9"/>
      <c r="L37" s="9"/>
      <c r="M37" s="44"/>
      <c r="N37" s="53"/>
      <c r="O37" s="53"/>
      <c r="P37" s="52"/>
    </row>
    <row r="38" spans="1:16">
      <c r="A38" s="12" t="s">
        <v>92</v>
      </c>
      <c r="B38" s="9">
        <v>-15.39</v>
      </c>
      <c r="C38" s="9">
        <v>-9.61</v>
      </c>
      <c r="D38" s="9">
        <v>132.31</v>
      </c>
      <c r="E38" s="44">
        <v>15.8</v>
      </c>
      <c r="F38" s="44">
        <v>15.6</v>
      </c>
      <c r="G38" s="42">
        <v>6.95</v>
      </c>
      <c r="I38" s="13" t="s">
        <v>107</v>
      </c>
      <c r="J38" s="9">
        <v>134.685</v>
      </c>
      <c r="K38" s="9">
        <v>225.386</v>
      </c>
      <c r="L38" s="9">
        <v>92.233000000000004</v>
      </c>
      <c r="M38" s="44">
        <v>74.739999999999995</v>
      </c>
      <c r="N38" s="42">
        <v>121.014</v>
      </c>
      <c r="O38" s="80">
        <v>89.521000000000001</v>
      </c>
      <c r="P38" s="52"/>
    </row>
    <row r="39" spans="1:16">
      <c r="A39" s="16" t="s">
        <v>4</v>
      </c>
      <c r="B39" s="17" t="s">
        <v>88</v>
      </c>
      <c r="C39" s="18">
        <f>C38/B38-1</f>
        <v>-0.37556855100714759</v>
      </c>
      <c r="D39" s="18">
        <f>D38/C38-1</f>
        <v>-14.767950052029137</v>
      </c>
      <c r="E39" s="18">
        <f>E38/D38-1</f>
        <v>-0.88058347819514782</v>
      </c>
      <c r="F39" s="18">
        <f>F38/E38-1</f>
        <v>-1.2658227848101333E-2</v>
      </c>
      <c r="G39" s="41">
        <v>0</v>
      </c>
      <c r="I39" s="13" t="s">
        <v>108</v>
      </c>
      <c r="J39" s="9">
        <v>10.378</v>
      </c>
      <c r="K39" s="9">
        <v>9.6159999999999997</v>
      </c>
      <c r="L39" s="9">
        <v>142.98400000000001</v>
      </c>
      <c r="M39" s="44">
        <v>268.45699999999999</v>
      </c>
      <c r="N39" s="42">
        <v>166.518</v>
      </c>
      <c r="O39" s="77">
        <v>311.37900000000002</v>
      </c>
      <c r="P39" s="52"/>
    </row>
    <row r="40" spans="1:16">
      <c r="A40" s="16" t="s">
        <v>5</v>
      </c>
      <c r="B40" s="17" t="s">
        <v>88</v>
      </c>
      <c r="C40" s="17" t="s">
        <v>88</v>
      </c>
      <c r="D40" s="17" t="s">
        <v>88</v>
      </c>
      <c r="E40" s="18" t="s">
        <v>123</v>
      </c>
      <c r="F40" s="57">
        <v>0</v>
      </c>
      <c r="G40" s="41">
        <v>0</v>
      </c>
      <c r="I40" s="12" t="s">
        <v>116</v>
      </c>
      <c r="J40" s="9">
        <v>5.875</v>
      </c>
      <c r="K40" s="9">
        <v>0</v>
      </c>
      <c r="L40" s="9">
        <v>8.6999999999999994E-2</v>
      </c>
      <c r="M40" s="44">
        <v>1.7000000000000001E-2</v>
      </c>
      <c r="N40" s="42">
        <v>0</v>
      </c>
      <c r="O40" s="42">
        <v>1.0999999999999999E-2</v>
      </c>
      <c r="P40" s="52"/>
    </row>
    <row r="41" spans="1:16">
      <c r="A41" s="3"/>
      <c r="G41" s="25"/>
      <c r="I41" s="12" t="s">
        <v>117</v>
      </c>
      <c r="J41" s="9">
        <v>4.2809999999999997</v>
      </c>
      <c r="K41" s="9">
        <v>5.7720000000000002</v>
      </c>
      <c r="L41" s="9">
        <v>14.329000000000001</v>
      </c>
      <c r="M41" s="44">
        <v>50.985999999999997</v>
      </c>
      <c r="N41" s="42">
        <v>91.316999999999993</v>
      </c>
      <c r="O41" s="42">
        <v>102.60599999999999</v>
      </c>
      <c r="P41" s="52"/>
    </row>
    <row r="42" spans="1:16">
      <c r="A42" s="15" t="s">
        <v>24</v>
      </c>
      <c r="B42" s="14" t="s">
        <v>89</v>
      </c>
      <c r="C42" s="8">
        <v>22</v>
      </c>
      <c r="D42" s="8">
        <v>23</v>
      </c>
      <c r="E42" s="8">
        <v>24</v>
      </c>
      <c r="F42" s="14" t="s">
        <v>125</v>
      </c>
      <c r="G42" s="6" t="s">
        <v>128</v>
      </c>
      <c r="I42" s="12" t="s">
        <v>130</v>
      </c>
      <c r="J42" s="9"/>
      <c r="K42" s="9"/>
      <c r="L42" s="9"/>
      <c r="M42" s="44"/>
      <c r="N42" s="42"/>
      <c r="O42" s="42">
        <v>15.856</v>
      </c>
      <c r="P42" s="52"/>
    </row>
    <row r="43" spans="1:16">
      <c r="A43" s="3" t="s">
        <v>25</v>
      </c>
      <c r="B43" s="9">
        <v>119.483</v>
      </c>
      <c r="C43" s="9">
        <v>134.685</v>
      </c>
      <c r="D43" s="9">
        <v>225.386</v>
      </c>
      <c r="E43" s="44">
        <f>92.233+9.6378</f>
        <v>101.8708</v>
      </c>
      <c r="F43" s="44">
        <f>74.739+0.094</f>
        <v>74.832999999999998</v>
      </c>
      <c r="G43" s="44">
        <v>121.014</v>
      </c>
      <c r="I43" s="3" t="s">
        <v>54</v>
      </c>
      <c r="J43" s="9">
        <v>54.256</v>
      </c>
      <c r="K43" s="9">
        <v>61.493000000000002</v>
      </c>
      <c r="L43" s="9">
        <f>78.577+837.637</f>
        <v>916.21399999999994</v>
      </c>
      <c r="M43" s="44">
        <v>294.04000000000002</v>
      </c>
      <c r="N43" s="42">
        <v>142.48599999999999</v>
      </c>
      <c r="O43" s="42">
        <v>128.90199999999999</v>
      </c>
    </row>
    <row r="44" spans="1:16">
      <c r="A44" s="3"/>
      <c r="B44" s="9"/>
      <c r="C44" s="9"/>
      <c r="D44" s="9"/>
      <c r="E44" s="44"/>
      <c r="F44" s="44"/>
      <c r="G44" s="44"/>
      <c r="I44" s="3"/>
      <c r="J44" s="9"/>
      <c r="K44" s="9"/>
      <c r="L44" s="9"/>
      <c r="M44" s="9"/>
      <c r="N44" s="11"/>
      <c r="O44" s="11"/>
    </row>
    <row r="45" spans="1:16">
      <c r="A45" s="12" t="s">
        <v>26</v>
      </c>
      <c r="B45" s="9">
        <v>10.111000000000001</v>
      </c>
      <c r="C45" s="9">
        <v>306.85199999999998</v>
      </c>
      <c r="D45" s="9">
        <v>1161.944</v>
      </c>
      <c r="E45" s="44">
        <v>718.56399999999996</v>
      </c>
      <c r="F45" s="44">
        <v>663.62599999999998</v>
      </c>
      <c r="G45" s="44">
        <v>283.95299999999997</v>
      </c>
      <c r="I45" s="10" t="s">
        <v>109</v>
      </c>
      <c r="J45" s="34">
        <f t="shared" ref="J45:O45" si="16">SUM(J33:J43)</f>
        <v>285.46500000000003</v>
      </c>
      <c r="K45" s="34">
        <f t="shared" si="16"/>
        <v>423.35799999999995</v>
      </c>
      <c r="L45" s="34">
        <f t="shared" si="16"/>
        <v>1291.306</v>
      </c>
      <c r="M45" s="34">
        <f t="shared" si="16"/>
        <v>819.36400000000003</v>
      </c>
      <c r="N45" s="35">
        <f t="shared" si="16"/>
        <v>656.89</v>
      </c>
      <c r="O45" s="35">
        <f t="shared" si="16"/>
        <v>809.05400000000009</v>
      </c>
    </row>
    <row r="46" spans="1:16">
      <c r="A46" s="12" t="s">
        <v>27</v>
      </c>
      <c r="B46" s="9">
        <v>-41.177999999999997</v>
      </c>
      <c r="C46" s="9">
        <v>-48.808999999999997</v>
      </c>
      <c r="D46" s="9">
        <v>-407.37099999999998</v>
      </c>
      <c r="E46" s="44">
        <v>1445.662</v>
      </c>
      <c r="F46" s="44">
        <v>342.95800000000003</v>
      </c>
      <c r="G46" s="44">
        <v>-164.97499999999999</v>
      </c>
      <c r="I46" s="3"/>
      <c r="J46" s="9"/>
      <c r="K46" s="9"/>
      <c r="L46" s="9"/>
      <c r="M46" s="9"/>
      <c r="N46" s="11"/>
      <c r="O46" s="11"/>
    </row>
    <row r="47" spans="1:16">
      <c r="A47" s="12" t="s">
        <v>28</v>
      </c>
      <c r="B47" s="9">
        <v>46.268999999999998</v>
      </c>
      <c r="C47" s="9">
        <v>-167.34200000000001</v>
      </c>
      <c r="D47" s="9">
        <v>-887.726</v>
      </c>
      <c r="E47" s="44">
        <v>-2191.3960000000002</v>
      </c>
      <c r="F47" s="44">
        <v>-960.404</v>
      </c>
      <c r="G47" s="44">
        <v>-150.471</v>
      </c>
      <c r="I47" s="3" t="s">
        <v>55</v>
      </c>
      <c r="J47" s="9"/>
      <c r="K47" s="9"/>
      <c r="L47" s="9"/>
      <c r="M47" s="9"/>
      <c r="N47" s="11"/>
      <c r="O47" s="11"/>
    </row>
    <row r="48" spans="1:16">
      <c r="A48" s="3"/>
      <c r="B48" s="9"/>
      <c r="C48" s="9"/>
      <c r="D48" s="9"/>
      <c r="E48" s="44"/>
      <c r="F48" s="44"/>
      <c r="G48" s="44"/>
      <c r="I48" s="3" t="s">
        <v>56</v>
      </c>
      <c r="J48" s="9"/>
      <c r="K48" s="9"/>
      <c r="L48" s="9"/>
      <c r="M48" s="9"/>
      <c r="N48" s="11"/>
      <c r="O48" s="11"/>
    </row>
    <row r="49" spans="1:15">
      <c r="A49" s="26" t="s">
        <v>29</v>
      </c>
      <c r="B49" s="28">
        <f>SUM(B45:B48)</f>
        <v>15.202000000000002</v>
      </c>
      <c r="C49" s="28">
        <f t="shared" ref="C49:F49" si="17">SUM(C45:C48)</f>
        <v>90.700999999999993</v>
      </c>
      <c r="D49" s="28">
        <f t="shared" si="17"/>
        <v>-133.15300000000002</v>
      </c>
      <c r="E49" s="45">
        <f t="shared" si="17"/>
        <v>-27.170000000000073</v>
      </c>
      <c r="F49" s="45">
        <f t="shared" si="17"/>
        <v>46.180000000000064</v>
      </c>
      <c r="G49" s="45">
        <f t="shared" ref="G49" si="18">SUM(G45:G48)</f>
        <v>-31.493000000000023</v>
      </c>
      <c r="I49" s="12" t="s">
        <v>57</v>
      </c>
      <c r="J49" s="9">
        <f>36.559+195.24</f>
        <v>231.79900000000001</v>
      </c>
      <c r="K49" s="9">
        <v>217.65600000000001</v>
      </c>
      <c r="L49" s="9">
        <f>15.273+211.188</f>
        <v>226.46099999999998</v>
      </c>
      <c r="M49" s="44">
        <v>313.30399999999997</v>
      </c>
      <c r="N49" s="42">
        <f>45.39+109.606</f>
        <v>154.99599999999998</v>
      </c>
      <c r="O49" s="42">
        <v>177.93299999999999</v>
      </c>
    </row>
    <row r="50" spans="1:15">
      <c r="A50" s="27" t="s">
        <v>30</v>
      </c>
      <c r="B50" s="36">
        <f>B43+B49</f>
        <v>134.685</v>
      </c>
      <c r="C50" s="36">
        <f t="shared" ref="C50:G50" si="19">C43+C49</f>
        <v>225.386</v>
      </c>
      <c r="D50" s="36">
        <f t="shared" si="19"/>
        <v>92.232999999999976</v>
      </c>
      <c r="E50" s="36">
        <f t="shared" si="19"/>
        <v>74.70079999999993</v>
      </c>
      <c r="F50" s="36">
        <f t="shared" si="19"/>
        <v>121.01300000000006</v>
      </c>
      <c r="G50" s="36">
        <f t="shared" si="19"/>
        <v>89.520999999999972</v>
      </c>
      <c r="I50" s="12" t="s">
        <v>58</v>
      </c>
      <c r="J50" s="9">
        <v>895.64499999999998</v>
      </c>
      <c r="K50" s="9">
        <v>1282.95</v>
      </c>
      <c r="L50" s="9">
        <v>403.48899999999998</v>
      </c>
      <c r="M50" s="44">
        <v>403.08300000000003</v>
      </c>
      <c r="N50" s="42">
        <v>452.72899999999998</v>
      </c>
      <c r="O50" s="42">
        <v>448.54599999999999</v>
      </c>
    </row>
    <row r="51" spans="1:15">
      <c r="A51" s="3"/>
      <c r="G51" s="25"/>
      <c r="I51" s="12" t="s">
        <v>59</v>
      </c>
      <c r="J51" s="9">
        <v>19.757999999999999</v>
      </c>
      <c r="K51" s="9">
        <v>17.343</v>
      </c>
      <c r="L51" s="9">
        <v>15.077999999999999</v>
      </c>
      <c r="M51" s="44">
        <v>14.363</v>
      </c>
      <c r="N51" s="42">
        <v>22.585999999999999</v>
      </c>
      <c r="O51" s="42">
        <v>32.722999999999999</v>
      </c>
    </row>
    <row r="52" spans="1:15">
      <c r="A52" s="15" t="s">
        <v>31</v>
      </c>
      <c r="B52" s="14" t="s">
        <v>89</v>
      </c>
      <c r="C52" s="8">
        <v>22</v>
      </c>
      <c r="D52" s="8">
        <v>23</v>
      </c>
      <c r="E52" s="8">
        <v>24</v>
      </c>
      <c r="F52" s="14" t="s">
        <v>124</v>
      </c>
      <c r="G52" s="6" t="s">
        <v>128</v>
      </c>
      <c r="I52" s="3" t="s">
        <v>60</v>
      </c>
      <c r="J52" s="9">
        <v>157.44300000000001</v>
      </c>
      <c r="K52" s="9">
        <v>207.815</v>
      </c>
      <c r="L52" s="9">
        <v>255.352</v>
      </c>
      <c r="M52" s="44">
        <v>458.73099999999999</v>
      </c>
      <c r="N52" s="42">
        <v>78.676000000000002</v>
      </c>
      <c r="O52" s="42">
        <v>93.397000000000006</v>
      </c>
    </row>
    <row r="53" spans="1:15">
      <c r="A53" s="3" t="s">
        <v>32</v>
      </c>
      <c r="B53" s="9">
        <f>B45</f>
        <v>10.111000000000001</v>
      </c>
      <c r="C53" s="9">
        <f t="shared" ref="C53:E53" si="20">C45</f>
        <v>306.85199999999998</v>
      </c>
      <c r="D53" s="9">
        <f t="shared" si="20"/>
        <v>1161.944</v>
      </c>
      <c r="E53" s="44">
        <f t="shared" si="20"/>
        <v>718.56399999999996</v>
      </c>
      <c r="F53" s="44">
        <f>F45</f>
        <v>663.62599999999998</v>
      </c>
      <c r="G53" s="44">
        <f>G45</f>
        <v>283.95299999999997</v>
      </c>
      <c r="I53" s="3" t="s">
        <v>61</v>
      </c>
      <c r="J53" s="9">
        <v>10.756</v>
      </c>
      <c r="K53" s="9">
        <v>11.281000000000001</v>
      </c>
      <c r="L53" s="9">
        <v>10.138999999999999</v>
      </c>
      <c r="M53" s="44">
        <v>11.96</v>
      </c>
      <c r="N53" s="42">
        <v>13.999000000000001</v>
      </c>
      <c r="O53" s="42">
        <v>14.058</v>
      </c>
    </row>
    <row r="54" spans="1:15">
      <c r="A54" s="3" t="s">
        <v>33</v>
      </c>
      <c r="B54" s="9">
        <v>-70.801000000000002</v>
      </c>
      <c r="C54" s="9">
        <v>-58.146000000000001</v>
      </c>
      <c r="D54" s="9">
        <v>-59.103999999999999</v>
      </c>
      <c r="E54" s="9">
        <v>1091.183</v>
      </c>
      <c r="F54" s="9">
        <v>-171.88200000000001</v>
      </c>
      <c r="G54" s="42">
        <v>108.791</v>
      </c>
      <c r="I54" s="3" t="s">
        <v>62</v>
      </c>
      <c r="J54" s="9">
        <v>0</v>
      </c>
      <c r="K54" s="9">
        <v>0</v>
      </c>
      <c r="L54" s="9">
        <v>0</v>
      </c>
      <c r="M54" s="44">
        <v>0</v>
      </c>
      <c r="N54" s="42">
        <v>0</v>
      </c>
      <c r="O54" s="42">
        <v>0</v>
      </c>
    </row>
    <row r="55" spans="1:15">
      <c r="A55" s="10" t="s">
        <v>34</v>
      </c>
      <c r="B55" s="34">
        <f>SUM(B53:B54)</f>
        <v>-60.69</v>
      </c>
      <c r="C55" s="34">
        <f t="shared" ref="C55:G55" si="21">SUM(C53:C54)</f>
        <v>248.70599999999996</v>
      </c>
      <c r="D55" s="34">
        <f t="shared" si="21"/>
        <v>1102.8399999999999</v>
      </c>
      <c r="E55" s="34">
        <f t="shared" si="21"/>
        <v>1809.7469999999998</v>
      </c>
      <c r="F55" s="34">
        <f t="shared" si="21"/>
        <v>491.74399999999997</v>
      </c>
      <c r="G55" s="34">
        <f t="shared" si="21"/>
        <v>392.74399999999997</v>
      </c>
      <c r="I55" s="3"/>
      <c r="J55" s="9"/>
      <c r="K55" s="9"/>
      <c r="L55" s="9"/>
      <c r="M55" s="9"/>
      <c r="N55" s="11"/>
      <c r="O55" s="11"/>
    </row>
    <row r="56" spans="1:15">
      <c r="A56" s="3"/>
      <c r="G56" s="25"/>
      <c r="I56" s="10" t="s">
        <v>114</v>
      </c>
      <c r="J56" s="34">
        <f>SUM(J49:J54)</f>
        <v>1315.4010000000001</v>
      </c>
      <c r="K56" s="34">
        <f t="shared" ref="K56:N56" si="22">SUM(K49:K54)</f>
        <v>1737.0450000000001</v>
      </c>
      <c r="L56" s="34">
        <f t="shared" si="22"/>
        <v>910.51899999999989</v>
      </c>
      <c r="M56" s="34">
        <f t="shared" si="22"/>
        <v>1201.441</v>
      </c>
      <c r="N56" s="35">
        <f t="shared" si="22"/>
        <v>722.98599999999999</v>
      </c>
      <c r="O56" s="35">
        <f t="shared" ref="O56" si="23">SUM(O49:O54)</f>
        <v>766.65700000000004</v>
      </c>
    </row>
    <row r="57" spans="1:15">
      <c r="A57" s="15" t="s">
        <v>31</v>
      </c>
      <c r="B57" s="14" t="s">
        <v>89</v>
      </c>
      <c r="C57" s="8">
        <v>22</v>
      </c>
      <c r="D57" s="8">
        <v>23</v>
      </c>
      <c r="E57" s="8">
        <v>24</v>
      </c>
      <c r="F57" s="14" t="s">
        <v>124</v>
      </c>
      <c r="G57" s="6" t="s">
        <v>131</v>
      </c>
      <c r="I57" s="3"/>
      <c r="J57" s="9"/>
      <c r="K57" s="9"/>
      <c r="L57" s="9"/>
      <c r="M57" s="9"/>
      <c r="N57" s="11"/>
      <c r="O57" s="11"/>
    </row>
    <row r="58" spans="1:15">
      <c r="A58" s="3" t="s">
        <v>94</v>
      </c>
      <c r="B58" s="9">
        <f>23584058/1000000</f>
        <v>23.584057999999999</v>
      </c>
      <c r="C58" s="9">
        <v>23.584057999999999</v>
      </c>
      <c r="D58" s="9">
        <v>24.652863</v>
      </c>
      <c r="E58" s="9">
        <v>25.906464</v>
      </c>
      <c r="F58" s="44">
        <f>29480072/10^6</f>
        <v>29.480072</v>
      </c>
      <c r="G58" s="42">
        <f>29480072/10^6</f>
        <v>29.480072</v>
      </c>
      <c r="I58" s="10" t="s">
        <v>63</v>
      </c>
      <c r="J58" s="34">
        <f>J45-J56</f>
        <v>-1029.9360000000001</v>
      </c>
      <c r="K58" s="34">
        <f t="shared" ref="K58:N58" si="24">K45-K56</f>
        <v>-1313.6870000000001</v>
      </c>
      <c r="L58" s="34">
        <f t="shared" si="24"/>
        <v>380.78700000000015</v>
      </c>
      <c r="M58" s="34">
        <f t="shared" si="24"/>
        <v>-382.077</v>
      </c>
      <c r="N58" s="35">
        <f t="shared" si="24"/>
        <v>-66.096000000000004</v>
      </c>
      <c r="O58" s="35">
        <f t="shared" ref="O58" si="25">O45-O56</f>
        <v>42.397000000000048</v>
      </c>
    </row>
    <row r="59" spans="1:15">
      <c r="A59" s="3" t="s">
        <v>35</v>
      </c>
      <c r="B59" s="9">
        <f t="shared" ref="B59:G59" si="26">B58*J75</f>
        <v>695.72971099999995</v>
      </c>
      <c r="C59" s="9">
        <f t="shared" si="26"/>
        <v>1647.3464512999999</v>
      </c>
      <c r="D59" s="9">
        <f t="shared" si="26"/>
        <v>3252.9452728499996</v>
      </c>
      <c r="E59" s="9">
        <f t="shared" si="26"/>
        <v>6480.5019695999999</v>
      </c>
      <c r="F59" s="44">
        <f t="shared" si="26"/>
        <v>8465.2026747999989</v>
      </c>
      <c r="G59" s="42">
        <f t="shared" si="26"/>
        <v>6973.5110316</v>
      </c>
      <c r="I59" s="3"/>
      <c r="J59" s="9"/>
      <c r="K59" s="9"/>
      <c r="L59" s="9"/>
      <c r="M59" s="9"/>
      <c r="N59" s="11"/>
      <c r="O59" s="11"/>
    </row>
    <row r="60" spans="1:15">
      <c r="A60" s="3" t="s">
        <v>36</v>
      </c>
      <c r="B60" s="9">
        <f>J11</f>
        <v>4505.6889999999994</v>
      </c>
      <c r="C60" s="9">
        <f>K11</f>
        <v>4409.7650000000003</v>
      </c>
      <c r="D60" s="9">
        <f>L11</f>
        <v>3273.4269999999997</v>
      </c>
      <c r="E60" s="9">
        <f>M11</f>
        <v>1998.2320000000002</v>
      </c>
      <c r="F60" s="44">
        <f t="shared" ref="F60" si="27">N11</f>
        <v>1276.365</v>
      </c>
      <c r="G60" s="44" t="s">
        <v>88</v>
      </c>
      <c r="I60" s="3" t="s">
        <v>64</v>
      </c>
      <c r="J60" s="9"/>
      <c r="K60" s="9"/>
      <c r="L60" s="9"/>
      <c r="M60" s="9"/>
      <c r="N60" s="11"/>
      <c r="O60" s="11"/>
    </row>
    <row r="61" spans="1:15">
      <c r="A61" s="3" t="s">
        <v>37</v>
      </c>
      <c r="B61" s="9">
        <f t="shared" ref="B61:F61" si="28">J38+J39</f>
        <v>145.06299999999999</v>
      </c>
      <c r="C61" s="9">
        <f t="shared" si="28"/>
        <v>235.00200000000001</v>
      </c>
      <c r="D61" s="9">
        <f t="shared" si="28"/>
        <v>235.21700000000001</v>
      </c>
      <c r="E61" s="9">
        <f t="shared" si="28"/>
        <v>343.197</v>
      </c>
      <c r="F61" s="44">
        <f t="shared" si="28"/>
        <v>287.53199999999998</v>
      </c>
      <c r="G61" s="44" t="s">
        <v>88</v>
      </c>
      <c r="I61" s="3" t="s">
        <v>56</v>
      </c>
      <c r="J61" s="9"/>
      <c r="K61" s="9"/>
      <c r="L61" s="9"/>
      <c r="M61" s="9"/>
      <c r="N61" s="11"/>
      <c r="O61" s="11"/>
    </row>
    <row r="62" spans="1:15" ht="15.75" thickBot="1">
      <c r="A62" s="5" t="s">
        <v>38</v>
      </c>
      <c r="B62" s="31">
        <f>B59+B60-B61</f>
        <v>5056.3557109999992</v>
      </c>
      <c r="C62" s="31">
        <f t="shared" ref="C62:E62" si="29">C59+C60-C61</f>
        <v>5822.1094512999998</v>
      </c>
      <c r="D62" s="31">
        <f t="shared" si="29"/>
        <v>6291.1552728500001</v>
      </c>
      <c r="E62" s="31">
        <f t="shared" si="29"/>
        <v>8135.5369695999998</v>
      </c>
      <c r="F62" s="58">
        <f t="shared" ref="F62" si="30">F59+F60-F61</f>
        <v>9454.0356747999995</v>
      </c>
      <c r="G62" s="58" t="s">
        <v>88</v>
      </c>
      <c r="I62" s="12" t="s">
        <v>110</v>
      </c>
      <c r="J62" s="9">
        <v>169.70500000000001</v>
      </c>
      <c r="K62" s="9">
        <v>172.29</v>
      </c>
      <c r="L62" s="9">
        <v>174.63900000000001</v>
      </c>
      <c r="M62" s="44">
        <v>638.423</v>
      </c>
      <c r="N62" s="42">
        <v>736.45600000000002</v>
      </c>
      <c r="O62" s="42">
        <v>1397.6489999999999</v>
      </c>
    </row>
    <row r="63" spans="1:15">
      <c r="I63" s="12" t="s">
        <v>111</v>
      </c>
      <c r="J63" s="9">
        <v>10.795999999999999</v>
      </c>
      <c r="K63" s="9">
        <v>9.7200000000000006</v>
      </c>
      <c r="L63" s="9">
        <v>10.837999999999999</v>
      </c>
      <c r="M63" s="44">
        <v>20.872</v>
      </c>
      <c r="N63" s="42">
        <v>11.273</v>
      </c>
      <c r="O63" s="42">
        <v>7.3390000000000004</v>
      </c>
    </row>
    <row r="64" spans="1:15">
      <c r="I64" s="3" t="s">
        <v>61</v>
      </c>
      <c r="J64" s="9">
        <v>44.691000000000003</v>
      </c>
      <c r="K64" s="9">
        <v>44.584000000000003</v>
      </c>
      <c r="L64" s="9">
        <v>48.247</v>
      </c>
      <c r="M64" s="44">
        <v>53.348999999999997</v>
      </c>
      <c r="N64" s="42">
        <v>59.433</v>
      </c>
      <c r="O64" s="42">
        <v>65.122</v>
      </c>
    </row>
    <row r="65" spans="9:16">
      <c r="I65" s="3" t="s">
        <v>112</v>
      </c>
      <c r="J65" s="9">
        <v>149.99</v>
      </c>
      <c r="K65" s="9">
        <v>76.611999999999995</v>
      </c>
      <c r="L65" s="9">
        <v>110.85599999999999</v>
      </c>
      <c r="M65" s="44">
        <v>163.40299999999999</v>
      </c>
      <c r="N65" s="42">
        <v>291.41000000000003</v>
      </c>
      <c r="O65" s="42">
        <v>300.173</v>
      </c>
    </row>
    <row r="66" spans="9:16">
      <c r="I66" s="3" t="s">
        <v>113</v>
      </c>
      <c r="J66" s="9">
        <v>37.884</v>
      </c>
      <c r="K66" s="9">
        <v>30.437000000000001</v>
      </c>
      <c r="L66" s="9">
        <v>22.99</v>
      </c>
      <c r="M66" s="44">
        <v>15.542999999999999</v>
      </c>
      <c r="N66" s="42">
        <v>9.4779999999999998</v>
      </c>
      <c r="O66" s="42">
        <v>7.3090000000000002</v>
      </c>
    </row>
    <row r="67" spans="9:16">
      <c r="I67" s="3"/>
      <c r="J67" s="9"/>
      <c r="K67" s="9"/>
      <c r="L67" s="9"/>
      <c r="M67" s="44"/>
      <c r="N67" s="42"/>
      <c r="O67" s="42"/>
    </row>
    <row r="68" spans="9:16">
      <c r="I68" s="10" t="s">
        <v>115</v>
      </c>
      <c r="J68" s="34">
        <f>SUM(J62:J66)</f>
        <v>413.06600000000003</v>
      </c>
      <c r="K68" s="34">
        <f t="shared" ref="K68:N68" si="31">SUM(K62:K66)</f>
        <v>333.64300000000003</v>
      </c>
      <c r="L68" s="34">
        <f t="shared" si="31"/>
        <v>367.57</v>
      </c>
      <c r="M68" s="34">
        <f t="shared" si="31"/>
        <v>891.59</v>
      </c>
      <c r="N68" s="35">
        <f t="shared" si="31"/>
        <v>1108.0500000000002</v>
      </c>
      <c r="O68" s="35">
        <f t="shared" ref="O68" si="32">SUM(O62:O66)</f>
        <v>1777.5919999999999</v>
      </c>
    </row>
    <row r="69" spans="9:16">
      <c r="I69" s="3"/>
      <c r="J69" s="9"/>
      <c r="K69" s="9"/>
      <c r="L69" s="9"/>
      <c r="M69" s="9"/>
      <c r="N69" s="11"/>
      <c r="O69" s="11"/>
    </row>
    <row r="70" spans="9:16">
      <c r="I70" s="10" t="s">
        <v>65</v>
      </c>
      <c r="J70" s="34">
        <f t="shared" ref="J70:O70" si="33">J45+J30</f>
        <v>4646.6929999999993</v>
      </c>
      <c r="K70" s="34">
        <f t="shared" si="33"/>
        <v>4668.7800000000007</v>
      </c>
      <c r="L70" s="34">
        <f t="shared" si="33"/>
        <v>6092.4050000000007</v>
      </c>
      <c r="M70" s="34">
        <f t="shared" si="33"/>
        <v>6147.5839999999989</v>
      </c>
      <c r="N70" s="35">
        <f t="shared" si="33"/>
        <v>5891.991</v>
      </c>
      <c r="O70" s="35">
        <f t="shared" si="33"/>
        <v>6651.2270000000008</v>
      </c>
    </row>
    <row r="71" spans="9:16" ht="15.75" thickBot="1">
      <c r="I71" s="60" t="s">
        <v>66</v>
      </c>
      <c r="J71" s="61">
        <f t="shared" ref="J71:O71" si="34">J68+J56+J11+J7</f>
        <v>4646.6929999999993</v>
      </c>
      <c r="K71" s="61">
        <f t="shared" si="34"/>
        <v>4668.7820000000011</v>
      </c>
      <c r="L71" s="61">
        <f t="shared" si="34"/>
        <v>6092.4049999999997</v>
      </c>
      <c r="M71" s="61">
        <f t="shared" si="34"/>
        <v>6147.5839999999998</v>
      </c>
      <c r="N71" s="62">
        <f t="shared" si="34"/>
        <v>5891.991</v>
      </c>
      <c r="O71" s="62">
        <f t="shared" si="34"/>
        <v>6651.2279999999992</v>
      </c>
    </row>
    <row r="72" spans="9:16">
      <c r="I72" s="73"/>
      <c r="J72" s="74"/>
      <c r="K72" s="73"/>
      <c r="L72" s="73"/>
      <c r="M72" s="73"/>
      <c r="N72" s="73"/>
      <c r="O72" s="73"/>
    </row>
    <row r="73" spans="9:16" ht="15.75" thickBot="1">
      <c r="I73" s="75"/>
      <c r="J73" s="75"/>
      <c r="K73" s="75"/>
      <c r="L73" s="75"/>
      <c r="M73" s="75"/>
      <c r="N73" s="75"/>
      <c r="O73" s="75"/>
    </row>
    <row r="74" spans="9:16">
      <c r="I74" s="63" t="s">
        <v>87</v>
      </c>
      <c r="J74" s="64" t="s">
        <v>89</v>
      </c>
      <c r="K74" s="64">
        <v>22</v>
      </c>
      <c r="L74" s="65" t="s">
        <v>121</v>
      </c>
      <c r="M74" s="65" t="s">
        <v>122</v>
      </c>
      <c r="N74" s="65" t="s">
        <v>124</v>
      </c>
      <c r="O74" s="66" t="s">
        <v>131</v>
      </c>
    </row>
    <row r="75" spans="9:16">
      <c r="I75" s="3" t="s">
        <v>67</v>
      </c>
      <c r="J75" s="37">
        <v>29.5</v>
      </c>
      <c r="K75" s="38">
        <v>69.849999999999994</v>
      </c>
      <c r="L75" s="38">
        <v>131.94999999999999</v>
      </c>
      <c r="M75" s="38">
        <v>250.15</v>
      </c>
      <c r="N75" s="67">
        <v>287.14999999999998</v>
      </c>
      <c r="O75" s="78">
        <v>236.55</v>
      </c>
    </row>
    <row r="76" spans="9:16">
      <c r="I76" s="3" t="s">
        <v>68</v>
      </c>
      <c r="J76" s="37">
        <f>B38</f>
        <v>-15.39</v>
      </c>
      <c r="K76" s="37">
        <f>C38</f>
        <v>-9.61</v>
      </c>
      <c r="L76" s="37">
        <f>D38</f>
        <v>132.31</v>
      </c>
      <c r="M76" s="37">
        <f>E38</f>
        <v>15.8</v>
      </c>
      <c r="N76" s="68">
        <f>F38</f>
        <v>15.6</v>
      </c>
      <c r="O76" s="79">
        <f>15.6+0.67-3.21</f>
        <v>13.059999999999999</v>
      </c>
      <c r="P76" t="s">
        <v>132</v>
      </c>
    </row>
    <row r="77" spans="9:16">
      <c r="I77" s="3" t="s">
        <v>69</v>
      </c>
      <c r="J77" s="37">
        <f t="shared" ref="J77:N77" si="35">J7/B58</f>
        <v>-67.310850405812275</v>
      </c>
      <c r="K77" s="37">
        <f t="shared" si="35"/>
        <v>-76.817611286403718</v>
      </c>
      <c r="L77" s="37">
        <f t="shared" si="35"/>
        <v>62.503450410607478</v>
      </c>
      <c r="M77" s="37">
        <f t="shared" si="35"/>
        <v>79.374823210145536</v>
      </c>
      <c r="N77" s="68">
        <f t="shared" si="35"/>
        <v>94.456689250962484</v>
      </c>
      <c r="O77" s="25" t="s">
        <v>123</v>
      </c>
    </row>
    <row r="78" spans="9:16">
      <c r="I78" s="3" t="s">
        <v>70</v>
      </c>
      <c r="J78" s="37">
        <v>0</v>
      </c>
      <c r="K78" s="37">
        <v>0</v>
      </c>
      <c r="L78" s="37">
        <v>0</v>
      </c>
      <c r="M78" s="37">
        <v>0</v>
      </c>
      <c r="N78" s="68">
        <v>0</v>
      </c>
      <c r="O78" s="25" t="s">
        <v>123</v>
      </c>
    </row>
    <row r="79" spans="9:16">
      <c r="I79" s="3" t="s">
        <v>71</v>
      </c>
      <c r="J79" s="32" t="s">
        <v>123</v>
      </c>
      <c r="K79" s="32" t="s">
        <v>123</v>
      </c>
      <c r="L79" s="32">
        <f t="shared" ref="L79:N79" si="36">L75/L76</f>
        <v>0.99727911722469942</v>
      </c>
      <c r="M79" s="32">
        <f t="shared" si="36"/>
        <v>15.832278481012658</v>
      </c>
      <c r="N79" s="69">
        <f t="shared" si="36"/>
        <v>18.407051282051281</v>
      </c>
      <c r="O79" s="55">
        <f>O75/O76</f>
        <v>18.112557427258807</v>
      </c>
    </row>
    <row r="80" spans="9:16">
      <c r="I80" s="3" t="s">
        <v>72</v>
      </c>
      <c r="J80" s="32" t="s">
        <v>123</v>
      </c>
      <c r="K80" s="32" t="s">
        <v>123</v>
      </c>
      <c r="L80" s="32">
        <f t="shared" ref="L80:M80" si="37">L75/L77</f>
        <v>2.1110834543240946</v>
      </c>
      <c r="M80" s="32">
        <f t="shared" si="37"/>
        <v>3.1515030822522365</v>
      </c>
      <c r="N80" s="69">
        <f t="shared" ref="N80" si="38">N75/N77</f>
        <v>3.0400176237076191</v>
      </c>
      <c r="O80" s="25" t="s">
        <v>123</v>
      </c>
    </row>
    <row r="81" spans="9:15">
      <c r="I81" s="3" t="s">
        <v>73</v>
      </c>
      <c r="J81" s="32">
        <f>B62/B14</f>
        <v>57.11073135221833</v>
      </c>
      <c r="K81" s="32">
        <f>C62/C14</f>
        <v>15.873790338218249</v>
      </c>
      <c r="L81" s="32">
        <f>D62/D14</f>
        <v>5.7808719269832594</v>
      </c>
      <c r="M81" s="32">
        <f>E62/E14</f>
        <v>8.9600497033521673</v>
      </c>
      <c r="N81" s="69">
        <f>F62/F14</f>
        <v>9.0308672950868196</v>
      </c>
      <c r="O81" s="25" t="s">
        <v>123</v>
      </c>
    </row>
    <row r="82" spans="9:15">
      <c r="I82" s="3" t="s">
        <v>74</v>
      </c>
      <c r="J82" s="39">
        <f>B27/J7</f>
        <v>0.2286283207860593</v>
      </c>
      <c r="K82" s="39">
        <f>C27/K7</f>
        <v>0.12514303093663248</v>
      </c>
      <c r="L82" s="39">
        <f>D27/L7</f>
        <v>2.0305336724449332</v>
      </c>
      <c r="M82" s="39">
        <f>E27/M7</f>
        <v>0.21809484025110878</v>
      </c>
      <c r="N82" s="70">
        <f>F27/N7</f>
        <v>0.16728997805781107</v>
      </c>
      <c r="O82" s="25" t="s">
        <v>123</v>
      </c>
    </row>
    <row r="83" spans="9:15">
      <c r="I83" s="3" t="s">
        <v>75</v>
      </c>
      <c r="J83" s="39">
        <f>(B24+B21)/J12</f>
        <v>7.7570016226936725E-2</v>
      </c>
      <c r="K83" s="39">
        <f>(C24+C21)/K12</f>
        <v>-0.18860663686026041</v>
      </c>
      <c r="L83" s="39">
        <f>(D24+D21)/L12</f>
        <v>0.89137239785945444</v>
      </c>
      <c r="M83" s="39">
        <f>(E24+E21)/M12</f>
        <v>0.23562937927250183</v>
      </c>
      <c r="N83" s="70">
        <f>(F24+F21)/N12</f>
        <v>0.185699975394927</v>
      </c>
      <c r="O83" s="25" t="s">
        <v>123</v>
      </c>
    </row>
    <row r="84" spans="9:15">
      <c r="I84" s="3" t="s">
        <v>76</v>
      </c>
      <c r="J84" s="32">
        <f t="shared" ref="J84:N84" si="39">J11/J7</f>
        <v>-2.8382954437363259</v>
      </c>
      <c r="K84" s="32">
        <f t="shared" si="39"/>
        <v>-2.4340870941799038</v>
      </c>
      <c r="L84" s="32">
        <f t="shared" si="39"/>
        <v>2.1243756039533022</v>
      </c>
      <c r="M84" s="32">
        <f t="shared" si="39"/>
        <v>0.97175100580113727</v>
      </c>
      <c r="N84" s="69">
        <f t="shared" si="39"/>
        <v>0.4583673000333981</v>
      </c>
      <c r="O84" s="25" t="s">
        <v>123</v>
      </c>
    </row>
    <row r="85" spans="9:15">
      <c r="I85" s="3" t="s">
        <v>77</v>
      </c>
      <c r="J85" s="32">
        <f t="shared" ref="J85:N85" si="40">(B60-B61)/J7</f>
        <v>-2.7469150462089504</v>
      </c>
      <c r="K85" s="32">
        <f t="shared" si="40"/>
        <v>-2.3043714890838349</v>
      </c>
      <c r="L85" s="32">
        <f t="shared" si="40"/>
        <v>1.9717254130570079</v>
      </c>
      <c r="M85" s="32">
        <f t="shared" si="40"/>
        <v>0.80485245251106241</v>
      </c>
      <c r="N85" s="69">
        <f t="shared" si="40"/>
        <v>0.35510901066225192</v>
      </c>
      <c r="O85" s="25" t="s">
        <v>123</v>
      </c>
    </row>
    <row r="86" spans="9:15">
      <c r="I86" s="3" t="s">
        <v>78</v>
      </c>
      <c r="J86" s="2">
        <f>J78/J75</f>
        <v>0</v>
      </c>
      <c r="K86" s="2">
        <f t="shared" ref="K86:M86" si="41">K78/K75</f>
        <v>0</v>
      </c>
      <c r="L86" s="2">
        <f t="shared" si="41"/>
        <v>0</v>
      </c>
      <c r="M86" s="2">
        <f t="shared" si="41"/>
        <v>0</v>
      </c>
      <c r="N86" s="71">
        <f t="shared" ref="N86" si="42">N78/N75</f>
        <v>0</v>
      </c>
      <c r="O86" s="25" t="s">
        <v>123</v>
      </c>
    </row>
    <row r="87" spans="9:15">
      <c r="I87" s="3" t="s">
        <v>79</v>
      </c>
      <c r="J87" s="37">
        <f>AVERAGE(J36)/B4*365</f>
        <v>31.389773235242867</v>
      </c>
      <c r="K87" s="37">
        <f>AVERAGE(J36:K36)/C4*365</f>
        <v>19.626072058379773</v>
      </c>
      <c r="L87" s="37">
        <f>AVERAGE(K36:L36)/D4*365</f>
        <v>11.553380809450401</v>
      </c>
      <c r="M87" s="37">
        <f>AVERAGE(L36:M36)/E4*365</f>
        <v>10.521004602668285</v>
      </c>
      <c r="N87" s="68">
        <f>AVERAGE(M36:N36)/F4*365</f>
        <v>8.7931905144184483</v>
      </c>
      <c r="O87" s="25" t="s">
        <v>123</v>
      </c>
    </row>
    <row r="88" spans="9:15">
      <c r="I88" s="3" t="s">
        <v>80</v>
      </c>
      <c r="J88" s="37">
        <f>AVERAGE(J49)/B4*365</f>
        <v>128.20449741262399</v>
      </c>
      <c r="K88" s="37">
        <f>AVERAGE(J49:K49)/C4*365</f>
        <v>56.769635140260398</v>
      </c>
      <c r="L88" s="37">
        <f>AVERAGE(K49:L49)/D4*365</f>
        <v>27.467427664948385</v>
      </c>
      <c r="M88" s="37">
        <f>AVERAGE(L49:M49)/E4*365</f>
        <v>32.3669019586969</v>
      </c>
      <c r="N88" s="68">
        <f>AVERAGE(M49:N49)/F4*365</f>
        <v>23.577328290393861</v>
      </c>
      <c r="O88" s="25" t="s">
        <v>123</v>
      </c>
    </row>
    <row r="89" spans="9:15">
      <c r="I89" s="3" t="s">
        <v>81</v>
      </c>
      <c r="J89" s="37">
        <f>J33/SUM(B8,B11)*365</f>
        <v>49.722711716303799</v>
      </c>
      <c r="K89" s="37">
        <f>AVERAGE(J33:K33)/SUM(C8,C11)*365</f>
        <v>27.804595064198512</v>
      </c>
      <c r="L89" s="37">
        <f>AVERAGE(K33:L33)/SUM(D8,D11)*365</f>
        <v>26.097378304699145</v>
      </c>
      <c r="M89" s="37">
        <f>AVERAGE(L33:M33)/SUM(E8,E11)*365</f>
        <v>32.590789229676737</v>
      </c>
      <c r="N89" s="68">
        <f>AVERAGE(M33:N33)/SUM(F8,F11)*365</f>
        <v>31.115115827493657</v>
      </c>
      <c r="O89" s="25" t="s">
        <v>123</v>
      </c>
    </row>
    <row r="90" spans="9:15">
      <c r="I90" s="3" t="s">
        <v>82</v>
      </c>
      <c r="J90" s="37">
        <f>J87+J89-J88</f>
        <v>-47.092012461077331</v>
      </c>
      <c r="K90" s="37">
        <f t="shared" ref="K90:M90" si="43">K87+K89-K88</f>
        <v>-9.338968017682113</v>
      </c>
      <c r="L90" s="37">
        <f t="shared" si="43"/>
        <v>10.183331449201159</v>
      </c>
      <c r="M90" s="37">
        <f t="shared" si="43"/>
        <v>10.744891873648122</v>
      </c>
      <c r="N90" s="68">
        <f t="shared" ref="N90" si="44">N87+N89-N88</f>
        <v>16.330978051518247</v>
      </c>
      <c r="O90" s="25" t="s">
        <v>123</v>
      </c>
    </row>
    <row r="91" spans="9:15">
      <c r="I91" s="3" t="s">
        <v>83</v>
      </c>
      <c r="J91" s="37">
        <f>AVERAGE(J58)/B4*365</f>
        <v>-569.6419192799292</v>
      </c>
      <c r="K91" s="37">
        <f>AVERAGE(J58:K58)/C4*365</f>
        <v>-296.01767166083926</v>
      </c>
      <c r="L91" s="37">
        <f>AVERAGE(K58:L58)/D4*365</f>
        <v>-57.697325859245083</v>
      </c>
      <c r="M91" s="37">
        <f>AVERAGE(L58:M58)/E4*365</f>
        <v>-7.735459603107675E-2</v>
      </c>
      <c r="N91" s="68">
        <f>AVERAGE(M58:N58)/F4*365</f>
        <v>-22.56400160557482</v>
      </c>
      <c r="O91" s="25" t="s">
        <v>123</v>
      </c>
    </row>
    <row r="92" spans="9:15">
      <c r="I92" s="3" t="s">
        <v>84</v>
      </c>
      <c r="J92" s="32">
        <f>B4/J16</f>
        <v>0.20404083939538598</v>
      </c>
      <c r="K92" s="32">
        <f>C4/K16</f>
        <v>0.45576040660246392</v>
      </c>
      <c r="L92" s="32">
        <f>D4/L16</f>
        <v>0.88307124351982713</v>
      </c>
      <c r="M92" s="32">
        <f>E4/M16</f>
        <v>0.9406475565031035</v>
      </c>
      <c r="N92" s="69">
        <f>F4/N16</f>
        <v>1.1200436291951001</v>
      </c>
      <c r="O92" s="25" t="s">
        <v>123</v>
      </c>
    </row>
    <row r="93" spans="9:15">
      <c r="I93" s="3" t="s">
        <v>85</v>
      </c>
      <c r="J93" s="39">
        <f>B21/B60</f>
        <v>9.2723887511987638E-2</v>
      </c>
      <c r="K93" s="39">
        <f>C21/C60</f>
        <v>0.11440949801179881</v>
      </c>
      <c r="L93" s="39">
        <f>D21/D60</f>
        <v>6.7365180283537718E-2</v>
      </c>
      <c r="M93" s="39">
        <f>E21/E60</f>
        <v>0.30303388195164527</v>
      </c>
      <c r="N93" s="70">
        <f>F21/F60</f>
        <v>0.23499155805745223</v>
      </c>
      <c r="O93" s="25" t="s">
        <v>123</v>
      </c>
    </row>
    <row r="94" spans="9:15" ht="15.75" thickBot="1">
      <c r="I94" s="5" t="s">
        <v>86</v>
      </c>
      <c r="J94" s="40">
        <f t="shared" ref="J94:O94" si="45">(B24+B21)/B21</f>
        <v>-9.8859461206122809E-2</v>
      </c>
      <c r="K94" s="40">
        <f t="shared" si="45"/>
        <v>0.40402244514081748</v>
      </c>
      <c r="L94" s="40">
        <f t="shared" si="45"/>
        <v>15.342208013060336</v>
      </c>
      <c r="M94" s="40">
        <f t="shared" si="45"/>
        <v>1.8905937258476846</v>
      </c>
      <c r="N94" s="72">
        <f t="shared" si="45"/>
        <v>3.180585793588611</v>
      </c>
      <c r="O94" s="56">
        <f t="shared" si="45"/>
        <v>2.6092793041850966</v>
      </c>
    </row>
  </sheetData>
  <mergeCells count="3">
    <mergeCell ref="A2:G2"/>
    <mergeCell ref="A1:O1"/>
    <mergeCell ref="I2:O2"/>
  </mergeCells>
  <pageMargins left="0.7" right="0.7" top="0.75" bottom="0.75" header="0.3" footer="0.3"/>
  <pageSetup orientation="portrait" r:id="rId1"/>
  <ignoredErrors>
    <ignoredError sqref="K88:M89 K7:N7 K87:N87 N8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V16</dc:creator>
  <cp:lastModifiedBy>pranavn@valoremadvisors.com</cp:lastModifiedBy>
  <dcterms:created xsi:type="dcterms:W3CDTF">2024-11-15T11:51:08Z</dcterms:created>
  <dcterms:modified xsi:type="dcterms:W3CDTF">2026-02-05T09:07:02Z</dcterms:modified>
</cp:coreProperties>
</file>