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Q3-FY26\Monte\"/>
    </mc:Choice>
  </mc:AlternateContent>
  <xr:revisionPtr revIDLastSave="0" documentId="8_{A50F38D4-4555-4821-9532-B474DF6F8F2F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Summary Sheet" sheetId="3" r:id="rId1"/>
    <sheet name="Sheet1" sheetId="4" r:id="rId2"/>
  </sheets>
  <definedNames>
    <definedName name="_xlnm.Print_Area" localSheetId="0">'Summary Sheet'!$A$1:$P$77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5" i="3" l="1"/>
  <c r="T58" i="3" s="1"/>
  <c r="T54" i="3"/>
  <c r="T57" i="3" s="1"/>
  <c r="I50" i="3"/>
  <c r="I45" i="3"/>
  <c r="H45" i="3"/>
  <c r="S54" i="3"/>
  <c r="I58" i="3"/>
  <c r="I56" i="3"/>
  <c r="I49" i="3"/>
  <c r="I51" i="3"/>
  <c r="T43" i="3"/>
  <c r="T9" i="3"/>
  <c r="I57" i="3" s="1"/>
  <c r="T6" i="3"/>
  <c r="T10" i="3" s="1"/>
  <c r="T14" i="3"/>
  <c r="T26" i="3"/>
  <c r="T36" i="3"/>
  <c r="I7" i="3"/>
  <c r="I59" i="3" l="1"/>
  <c r="T49" i="3"/>
  <c r="T11" i="3" s="1"/>
  <c r="T50" i="3"/>
  <c r="T48" i="3"/>
  <c r="I15" i="3"/>
  <c r="I23" i="3" l="1"/>
  <c r="I25" i="3" s="1"/>
  <c r="I18" i="3"/>
  <c r="H7" i="3"/>
  <c r="H15" i="3" s="1"/>
  <c r="S71" i="3" s="1"/>
  <c r="H6" i="3"/>
  <c r="H5" i="3"/>
  <c r="N67" i="3"/>
  <c r="O67" i="3"/>
  <c r="P67" i="3"/>
  <c r="Q67" i="3"/>
  <c r="R67" i="3"/>
  <c r="S67" i="3"/>
  <c r="M67" i="3"/>
  <c r="S65" i="3"/>
  <c r="S64" i="3"/>
  <c r="S9" i="3"/>
  <c r="H58" i="3"/>
  <c r="H56" i="3"/>
  <c r="H49" i="3"/>
  <c r="H51" i="3" s="1"/>
  <c r="H36" i="3"/>
  <c r="G36" i="3"/>
  <c r="H35" i="3"/>
  <c r="R54" i="3"/>
  <c r="S14" i="3"/>
  <c r="S6" i="3"/>
  <c r="S10" i="3" s="1"/>
  <c r="R6" i="3"/>
  <c r="F58" i="3"/>
  <c r="H46" i="3"/>
  <c r="I41" i="3" s="1"/>
  <c r="I46" i="3" s="1"/>
  <c r="G45" i="3"/>
  <c r="F45" i="3"/>
  <c r="E45" i="3"/>
  <c r="S57" i="3" l="1"/>
  <c r="I26" i="3"/>
  <c r="S62" i="3"/>
  <c r="S63" i="3"/>
  <c r="S55" i="3"/>
  <c r="S58" i="3" s="1"/>
  <c r="H57" i="3"/>
  <c r="H59" i="3" s="1"/>
  <c r="S59" i="3" s="1"/>
  <c r="S70" i="3"/>
  <c r="H18" i="3"/>
  <c r="H23" i="3"/>
  <c r="G56" i="3"/>
  <c r="R65" i="3"/>
  <c r="R64" i="3"/>
  <c r="R57" i="3"/>
  <c r="G7" i="3"/>
  <c r="G15" i="3" s="1"/>
  <c r="H16" i="3" s="1"/>
  <c r="I29" i="3" l="1"/>
  <c r="I31" i="3"/>
  <c r="H26" i="3"/>
  <c r="H25" i="3"/>
  <c r="G23" i="3"/>
  <c r="G18" i="3"/>
  <c r="S43" i="3"/>
  <c r="R38" i="3"/>
  <c r="S66" i="3" s="1"/>
  <c r="S68" i="3" s="1"/>
  <c r="S36" i="3"/>
  <c r="S26" i="3"/>
  <c r="S49" i="3" s="1"/>
  <c r="R26" i="3"/>
  <c r="Q9" i="3"/>
  <c r="R9" i="3"/>
  <c r="G57" i="3" s="1"/>
  <c r="E58" i="3"/>
  <c r="G58" i="3"/>
  <c r="E50" i="3"/>
  <c r="E49" i="3"/>
  <c r="G49" i="3"/>
  <c r="G51" i="3" s="1"/>
  <c r="S48" i="3" l="1"/>
  <c r="S60" i="3"/>
  <c r="H29" i="3"/>
  <c r="S11" i="3"/>
  <c r="S61" i="3" s="1"/>
  <c r="S50" i="3"/>
  <c r="G25" i="3"/>
  <c r="G26" i="3"/>
  <c r="H27" i="3" s="1"/>
  <c r="G5" i="3"/>
  <c r="H31" i="3" l="1"/>
  <c r="G29" i="3"/>
  <c r="G6" i="3"/>
  <c r="G35" i="3"/>
  <c r="G46" i="3"/>
  <c r="F56" i="3" l="1"/>
  <c r="Q64" i="3" l="1"/>
  <c r="R36" i="3"/>
  <c r="R14" i="3"/>
  <c r="G59" i="3"/>
  <c r="R59" i="3" s="1"/>
  <c r="F57" i="3"/>
  <c r="F36" i="3"/>
  <c r="F35" i="3"/>
  <c r="G31" i="3" l="1"/>
  <c r="H32" i="3" s="1"/>
  <c r="R66" i="3"/>
  <c r="R70" i="3"/>
  <c r="F6" i="3"/>
  <c r="R68" i="3" l="1"/>
  <c r="R71" i="3"/>
  <c r="R43" i="3"/>
  <c r="M65" i="3"/>
  <c r="B50" i="3"/>
  <c r="B45" i="3"/>
  <c r="M9" i="3"/>
  <c r="M43" i="3"/>
  <c r="M38" i="3"/>
  <c r="M66" i="3" s="1"/>
  <c r="M14" i="3"/>
  <c r="B7" i="3"/>
  <c r="C45" i="3"/>
  <c r="D45" i="3"/>
  <c r="O36" i="3"/>
  <c r="N36" i="3"/>
  <c r="O43" i="3"/>
  <c r="N26" i="3"/>
  <c r="O26" i="3"/>
  <c r="N14" i="3"/>
  <c r="O14" i="3"/>
  <c r="N9" i="3"/>
  <c r="N70" i="3" s="1"/>
  <c r="O9" i="3"/>
  <c r="F7" i="3"/>
  <c r="F15" i="3" s="1"/>
  <c r="G16" i="3" s="1"/>
  <c r="E7" i="3"/>
  <c r="E15" i="3" s="1"/>
  <c r="C7" i="3"/>
  <c r="C15" i="3" s="1"/>
  <c r="C18" i="3" s="1"/>
  <c r="D7" i="3"/>
  <c r="D15" i="3" s="1"/>
  <c r="G17" i="3" s="1"/>
  <c r="C5" i="3"/>
  <c r="D5" i="3"/>
  <c r="B56" i="3"/>
  <c r="C56" i="3"/>
  <c r="D56" i="3"/>
  <c r="E56" i="3"/>
  <c r="C58" i="3"/>
  <c r="D58" i="3"/>
  <c r="F59" i="3"/>
  <c r="B58" i="3"/>
  <c r="F50" i="3"/>
  <c r="E46" i="3"/>
  <c r="Q36" i="3"/>
  <c r="P36" i="3"/>
  <c r="P43" i="3"/>
  <c r="Q43" i="3"/>
  <c r="Q26" i="3"/>
  <c r="P26" i="3"/>
  <c r="Q14" i="3"/>
  <c r="P14" i="3"/>
  <c r="P9" i="3"/>
  <c r="E57" i="3" s="1"/>
  <c r="Q6" i="3"/>
  <c r="Q10" i="3" s="1"/>
  <c r="P6" i="3"/>
  <c r="C35" i="3"/>
  <c r="D35" i="3"/>
  <c r="E35" i="3"/>
  <c r="E36" i="3"/>
  <c r="E6" i="3"/>
  <c r="E5" i="3"/>
  <c r="F5" i="3"/>
  <c r="O66" i="3"/>
  <c r="P66" i="3"/>
  <c r="Q66" i="3"/>
  <c r="N64" i="3"/>
  <c r="O64" i="3"/>
  <c r="P64" i="3"/>
  <c r="N43" i="3"/>
  <c r="M26" i="3"/>
  <c r="N54" i="3"/>
  <c r="O54" i="3"/>
  <c r="P54" i="3"/>
  <c r="Q54" i="3"/>
  <c r="M54" i="3"/>
  <c r="Q65" i="3"/>
  <c r="E23" i="3" l="1"/>
  <c r="E25" i="3" s="1"/>
  <c r="H17" i="3"/>
  <c r="R10" i="3"/>
  <c r="R55" i="3"/>
  <c r="R58" i="3" s="1"/>
  <c r="R63" i="3"/>
  <c r="R62" i="3"/>
  <c r="R60" i="3"/>
  <c r="R48" i="3"/>
  <c r="S69" i="3" s="1"/>
  <c r="R49" i="3"/>
  <c r="F17" i="3"/>
  <c r="F16" i="3"/>
  <c r="Q48" i="3"/>
  <c r="P48" i="3"/>
  <c r="M36" i="3"/>
  <c r="M48" i="3" s="1"/>
  <c r="Q55" i="3"/>
  <c r="N66" i="3"/>
  <c r="R50" i="3"/>
  <c r="N48" i="3"/>
  <c r="P49" i="3"/>
  <c r="P11" i="3" s="1"/>
  <c r="Q49" i="3"/>
  <c r="Q11" i="3" s="1"/>
  <c r="O48" i="3"/>
  <c r="P69" i="3" s="1"/>
  <c r="D18" i="3"/>
  <c r="D23" i="3"/>
  <c r="D26" i="3" s="1"/>
  <c r="G28" i="3" s="1"/>
  <c r="E26" i="3"/>
  <c r="H28" i="3" s="1"/>
  <c r="Q70" i="3"/>
  <c r="B15" i="3"/>
  <c r="E17" i="3" s="1"/>
  <c r="P10" i="3"/>
  <c r="P50" i="3"/>
  <c r="Q50" i="3"/>
  <c r="E59" i="3"/>
  <c r="F18" i="3"/>
  <c r="F23" i="3"/>
  <c r="D16" i="3"/>
  <c r="C23" i="3"/>
  <c r="E16" i="3"/>
  <c r="E18" i="3"/>
  <c r="Q68" i="3"/>
  <c r="Q71" i="3"/>
  <c r="P71" i="3"/>
  <c r="O71" i="3"/>
  <c r="N71" i="3"/>
  <c r="Q61" i="3"/>
  <c r="Q57" i="3"/>
  <c r="F49" i="3"/>
  <c r="F51" i="3" s="1"/>
  <c r="E51" i="3"/>
  <c r="D49" i="3"/>
  <c r="D51" i="3" s="1"/>
  <c r="C49" i="3"/>
  <c r="B49" i="3"/>
  <c r="Q69" i="3" l="1"/>
  <c r="R69" i="3"/>
  <c r="N69" i="3"/>
  <c r="M69" i="3"/>
  <c r="O69" i="3"/>
  <c r="R11" i="3"/>
  <c r="R61" i="3" s="1"/>
  <c r="E27" i="3"/>
  <c r="C16" i="3"/>
  <c r="D25" i="3"/>
  <c r="C25" i="3"/>
  <c r="C26" i="3"/>
  <c r="D27" i="3" s="1"/>
  <c r="E29" i="3"/>
  <c r="E31" i="3"/>
  <c r="H33" i="3" s="1"/>
  <c r="D31" i="3"/>
  <c r="G33" i="3" s="1"/>
  <c r="D29" i="3"/>
  <c r="F25" i="3"/>
  <c r="F26" i="3"/>
  <c r="G27" i="3" s="1"/>
  <c r="B18" i="3"/>
  <c r="B23" i="3"/>
  <c r="B26" i="3" s="1"/>
  <c r="B31" i="3" s="1"/>
  <c r="Q59" i="3"/>
  <c r="Q63" i="3"/>
  <c r="Q62" i="3"/>
  <c r="Q58" i="3"/>
  <c r="F27" i="3" l="1"/>
  <c r="F29" i="3"/>
  <c r="Q60" i="3"/>
  <c r="F28" i="3"/>
  <c r="F31" i="3"/>
  <c r="G32" i="3" s="1"/>
  <c r="C29" i="3"/>
  <c r="C31" i="3"/>
  <c r="D32" i="3" s="1"/>
  <c r="E32" i="3"/>
  <c r="B25" i="3"/>
  <c r="P65" i="3"/>
  <c r="F33" i="3" l="1"/>
  <c r="F32" i="3"/>
  <c r="B29" i="3"/>
  <c r="E28" i="3"/>
  <c r="C27" i="3"/>
  <c r="P68" i="3"/>
  <c r="P57" i="3"/>
  <c r="E33" i="3" l="1"/>
  <c r="C32" i="3"/>
  <c r="N65" i="3"/>
  <c r="N68" i="3" l="1"/>
  <c r="M68" i="3"/>
  <c r="O6" i="3"/>
  <c r="O10" i="3" s="1"/>
  <c r="N6" i="3"/>
  <c r="N10" i="3" s="1"/>
  <c r="M6" i="3"/>
  <c r="M10" i="3" l="1"/>
  <c r="M61" i="3" s="1"/>
  <c r="M63" i="3"/>
  <c r="M60" i="3"/>
  <c r="M50" i="3"/>
  <c r="O60" i="3"/>
  <c r="O50" i="3"/>
  <c r="O61" i="3"/>
  <c r="P60" i="3"/>
  <c r="P61" i="3"/>
  <c r="N60" i="3"/>
  <c r="N50" i="3"/>
  <c r="N61" i="3"/>
  <c r="M55" i="3"/>
  <c r="M58" i="3" s="1"/>
  <c r="N55" i="3"/>
  <c r="O55" i="3"/>
  <c r="O58" i="3" s="1"/>
  <c r="M71" i="3"/>
  <c r="P63" i="3" l="1"/>
  <c r="P70" i="3"/>
  <c r="P62" i="3"/>
  <c r="P59" i="3"/>
  <c r="P55" i="3"/>
  <c r="P58" i="3" s="1"/>
  <c r="O57" i="3" l="1"/>
  <c r="O65" i="3" l="1"/>
  <c r="M64" i="3"/>
  <c r="N57" i="3"/>
  <c r="M57" i="3"/>
  <c r="M49" i="3"/>
  <c r="M11" i="3" s="1"/>
  <c r="D57" i="3"/>
  <c r="D59" i="3" s="1"/>
  <c r="M70" i="3" l="1"/>
  <c r="B57" i="3"/>
  <c r="B59" i="3" s="1"/>
  <c r="C57" i="3"/>
  <c r="C59" i="3" s="1"/>
  <c r="N49" i="3"/>
  <c r="N11" i="3" s="1"/>
  <c r="O49" i="3"/>
  <c r="O11" i="3" s="1"/>
  <c r="O68" i="3"/>
  <c r="B51" i="3"/>
  <c r="N63" i="3"/>
  <c r="N62" i="3"/>
  <c r="O70" i="3"/>
  <c r="O63" i="3"/>
  <c r="O62" i="3"/>
  <c r="M62" i="3"/>
  <c r="O59" i="3" l="1"/>
  <c r="M59" i="3"/>
  <c r="N59" i="3"/>
  <c r="N58" i="3"/>
  <c r="B46" i="3" l="1"/>
  <c r="C46" i="3" s="1"/>
  <c r="C51" i="3"/>
  <c r="D46" i="3" l="1"/>
  <c r="F46" i="3" l="1"/>
</calcChain>
</file>

<file path=xl/sharedStrings.xml><?xml version="1.0" encoding="utf-8"?>
<sst xmlns="http://schemas.openxmlformats.org/spreadsheetml/2006/main" count="199" uniqueCount="123">
  <si>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</si>
  <si>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</si>
  <si>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</si>
  <si>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</si>
  <si>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</si>
  <si>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</si>
  <si>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</si>
  <si>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</si>
  <si>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</si>
  <si>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</si>
  <si>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</si>
  <si>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</si>
  <si>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</si>
  <si>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</si>
  <si>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</si>
  <si>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</si>
  <si>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</si>
  <si>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</si>
  <si>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</si>
  <si>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</si>
  <si>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</si>
  <si>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</si>
  <si>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</si>
  <si>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Long Term Debt</t>
  </si>
  <si>
    <t>Short Term Debt</t>
  </si>
  <si>
    <t>Loans</t>
  </si>
  <si>
    <t>Capital Employed</t>
  </si>
  <si>
    <t>Inventories</t>
  </si>
  <si>
    <t>Cash &amp; Bank Balances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</si>
  <si>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</si>
  <si>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</si>
  <si>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</si>
  <si>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</si>
  <si>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</si>
  <si>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</si>
  <si>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</si>
  <si>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</si>
  <si>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</si>
  <si>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</si>
  <si>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</si>
  <si>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</si>
  <si>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</si>
  <si>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</si>
  <si>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</si>
  <si>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</si>
  <si>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</si>
  <si>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</si>
  <si>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</si>
  <si>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</si>
  <si>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</si>
  <si>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Cash</t>
  </si>
  <si>
    <t>EV</t>
  </si>
  <si>
    <t>Total Debt</t>
  </si>
  <si>
    <t>Cash Flow from Investing Activities</t>
  </si>
  <si>
    <t>PAT margin (%)</t>
  </si>
  <si>
    <t>Interest Cost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</si>
  <si>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</si>
  <si>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</si>
  <si>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</si>
  <si>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</si>
  <si>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</si>
  <si>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</si>
  <si>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</si>
  <si>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Other Non-current Assets</t>
  </si>
  <si>
    <t>FY19</t>
  </si>
  <si>
    <t>Cash Conversion Cycle</t>
  </si>
  <si>
    <t>Interest Coverage Ratio</t>
  </si>
  <si>
    <t>Working Capital Cycle</t>
  </si>
  <si>
    <t>Other Financial Liabilities</t>
  </si>
  <si>
    <t>FY20</t>
  </si>
  <si>
    <t>FY21</t>
  </si>
  <si>
    <t>CMP</t>
  </si>
  <si>
    <t>Total Revenue</t>
  </si>
  <si>
    <t>Account Receivable</t>
  </si>
  <si>
    <t>Cost of material consumed</t>
  </si>
  <si>
    <t>Purchase of stock-in-trade</t>
  </si>
  <si>
    <t>NON-CURRENT ASSETS</t>
  </si>
  <si>
    <t>CURRENT ASSETS</t>
  </si>
  <si>
    <t xml:space="preserve">CURRENT LIABILITIES </t>
  </si>
  <si>
    <t xml:space="preserve">NON CURRENT LIABILITIES </t>
  </si>
  <si>
    <t>Right of Use Assets</t>
  </si>
  <si>
    <t>Investments</t>
  </si>
  <si>
    <t xml:space="preserve">Property, Plant and Equipment </t>
  </si>
  <si>
    <t>FY22</t>
  </si>
  <si>
    <t>FY23</t>
  </si>
  <si>
    <t>Intangible assets</t>
  </si>
  <si>
    <t xml:space="preserve">Intangible assets under development </t>
  </si>
  <si>
    <t xml:space="preserve">Financial assets </t>
  </si>
  <si>
    <t xml:space="preserve">Income tax assets (net) </t>
  </si>
  <si>
    <t xml:space="preserve">Deferred tax assets (net) </t>
  </si>
  <si>
    <t xml:space="preserve">Bank balances other than cash and cash equivalents </t>
  </si>
  <si>
    <t xml:space="preserve">Loans </t>
  </si>
  <si>
    <t xml:space="preserve">Other financial assets </t>
  </si>
  <si>
    <t xml:space="preserve">Other current assets </t>
  </si>
  <si>
    <t xml:space="preserve"> Lease liability </t>
  </si>
  <si>
    <t xml:space="preserve">Other financial liabilities </t>
  </si>
  <si>
    <t xml:space="preserve">Other non-current liabilities </t>
  </si>
  <si>
    <t xml:space="preserve">Provisions </t>
  </si>
  <si>
    <t xml:space="preserve">Lease liability </t>
  </si>
  <si>
    <t xml:space="preserve">Trade and other payables </t>
  </si>
  <si>
    <t xml:space="preserve">Current tax liabilities (net) </t>
  </si>
  <si>
    <t xml:space="preserve">Other current liabilities </t>
  </si>
  <si>
    <t>Monte Carlo Fashions Ltd.</t>
  </si>
  <si>
    <t>Equity Share Capital</t>
  </si>
  <si>
    <t>Other equity</t>
  </si>
  <si>
    <t>Total Equity</t>
  </si>
  <si>
    <t xml:space="preserve">PAT </t>
  </si>
  <si>
    <t>Market Cap (in MN)</t>
  </si>
  <si>
    <t>CAGR (%) - 3 Years</t>
  </si>
  <si>
    <t>Advertisment and business promotion</t>
  </si>
  <si>
    <t>Total Comprehensive Income</t>
  </si>
  <si>
    <t xml:space="preserve">i)Investments </t>
  </si>
  <si>
    <t xml:space="preserve">ii) Other Finanacial Assets </t>
  </si>
  <si>
    <t>Corporate social responsibility expenditure</t>
  </si>
  <si>
    <t>-</t>
  </si>
  <si>
    <t>NET CURRENT ASSETS</t>
  </si>
  <si>
    <t>FY24</t>
  </si>
  <si>
    <t>FY25</t>
  </si>
  <si>
    <t>H1-FY26</t>
  </si>
  <si>
    <t>Financial assets :</t>
  </si>
  <si>
    <t>NA</t>
  </si>
  <si>
    <t>9M-FY26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</si>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</sst>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1"/>
      <color rgb="FFFFFFFF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</font>
    <font>
      <u/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4" fillId="5" borderId="1" xfId="0" applyFont="1" applyFill="1" applyBorder="1"/>
    <xf numFmtId="0" fontId="4" fillId="3" borderId="1" xfId="0" applyFont="1" applyFill="1" applyBorder="1"/>
    <xf numFmtId="10" fontId="3" fillId="0" borderId="0" xfId="1" applyNumberFormat="1" applyFont="1" applyFill="1" applyBorder="1"/>
    <xf numFmtId="0" fontId="3" fillId="0" borderId="1" xfId="0" applyFont="1" applyBorder="1"/>
    <xf numFmtId="165" fontId="5" fillId="3" borderId="1" xfId="0" applyNumberFormat="1" applyFont="1" applyFill="1" applyBorder="1"/>
    <xf numFmtId="167" fontId="3" fillId="0" borderId="1" xfId="2" applyNumberFormat="1" applyFont="1" applyFill="1" applyBorder="1"/>
    <xf numFmtId="0" fontId="4" fillId="0" borderId="1" xfId="0" applyFont="1" applyBorder="1"/>
    <xf numFmtId="0" fontId="4" fillId="5" borderId="1" xfId="0" applyFont="1" applyFill="1" applyBorder="1" applyAlignment="1">
      <alignment horizontal="right"/>
    </xf>
    <xf numFmtId="164" fontId="4" fillId="0" borderId="1" xfId="0" applyNumberFormat="1" applyFont="1" applyBorder="1"/>
    <xf numFmtId="165" fontId="4" fillId="0" borderId="1" xfId="0" applyNumberFormat="1" applyFont="1" applyBorder="1"/>
    <xf numFmtId="10" fontId="4" fillId="0" borderId="1" xfId="0" applyNumberFormat="1" applyFont="1" applyBorder="1"/>
    <xf numFmtId="10" fontId="3" fillId="0" borderId="0" xfId="0" applyNumberFormat="1" applyFont="1"/>
    <xf numFmtId="167" fontId="3" fillId="4" borderId="0" xfId="2" applyNumberFormat="1" applyFont="1" applyFill="1" applyBorder="1"/>
    <xf numFmtId="167" fontId="3" fillId="0" borderId="0" xfId="2" applyNumberFormat="1" applyFont="1" applyBorder="1"/>
    <xf numFmtId="165" fontId="3" fillId="3" borderId="1" xfId="0" applyNumberFormat="1" applyFont="1" applyFill="1" applyBorder="1"/>
    <xf numFmtId="0" fontId="3" fillId="3" borderId="1" xfId="0" applyFont="1" applyFill="1" applyBorder="1"/>
    <xf numFmtId="165" fontId="3" fillId="3" borderId="1" xfId="1" applyNumberFormat="1" applyFont="1" applyFill="1" applyBorder="1"/>
    <xf numFmtId="0" fontId="3" fillId="0" borderId="1" xfId="3" applyFont="1" applyBorder="1"/>
    <xf numFmtId="164" fontId="6" fillId="0" borderId="1" xfId="0" applyNumberFormat="1" applyFont="1" applyBorder="1"/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7" borderId="6" xfId="0" applyFont="1" applyFill="1" applyBorder="1" applyAlignment="1">
      <alignment wrapText="1"/>
    </xf>
    <xf numFmtId="0" fontId="9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0" fillId="7" borderId="1" xfId="0" applyFont="1" applyFill="1" applyBorder="1" applyAlignment="1">
      <alignment wrapText="1"/>
    </xf>
    <xf numFmtId="0" fontId="10" fillId="8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0" borderId="1" xfId="0" applyFont="1" applyBorder="1"/>
    <xf numFmtId="167" fontId="4" fillId="0" borderId="0" xfId="2" applyNumberFormat="1" applyFont="1" applyFill="1" applyBorder="1"/>
    <xf numFmtId="167" fontId="4" fillId="3" borderId="1" xfId="2" applyNumberFormat="1" applyFont="1" applyFill="1" applyBorder="1"/>
    <xf numFmtId="10" fontId="4" fillId="3" borderId="1" xfId="0" applyNumberFormat="1" applyFont="1" applyFill="1" applyBorder="1"/>
    <xf numFmtId="10" fontId="3" fillId="3" borderId="1" xfId="0" applyNumberFormat="1" applyFont="1" applyFill="1" applyBorder="1"/>
    <xf numFmtId="10" fontId="4" fillId="3" borderId="1" xfId="1" applyNumberFormat="1" applyFont="1" applyFill="1" applyBorder="1"/>
    <xf numFmtId="43" fontId="4" fillId="3" borderId="1" xfId="2" applyFont="1" applyFill="1" applyBorder="1"/>
    <xf numFmtId="43" fontId="4" fillId="0" borderId="1" xfId="2" applyFont="1" applyFill="1" applyBorder="1"/>
    <xf numFmtId="167" fontId="3" fillId="3" borderId="1" xfId="2" applyNumberFormat="1" applyFont="1" applyFill="1" applyBorder="1"/>
    <xf numFmtId="43" fontId="3" fillId="3" borderId="1" xfId="2" applyFont="1" applyFill="1" applyBorder="1"/>
    <xf numFmtId="10" fontId="3" fillId="3" borderId="1" xfId="1" applyNumberFormat="1" applyFont="1" applyFill="1" applyBorder="1"/>
    <xf numFmtId="10" fontId="3" fillId="3" borderId="1" xfId="2" applyNumberFormat="1" applyFont="1" applyFill="1" applyBorder="1"/>
    <xf numFmtId="166" fontId="3" fillId="3" borderId="1" xfId="2" applyNumberFormat="1" applyFont="1" applyFill="1" applyBorder="1"/>
    <xf numFmtId="43" fontId="3" fillId="3" borderId="1" xfId="0" applyNumberFormat="1" applyFont="1" applyFill="1" applyBorder="1" applyAlignment="1">
      <alignment wrapText="1"/>
    </xf>
    <xf numFmtId="43" fontId="3" fillId="3" borderId="1" xfId="2" applyFont="1" applyFill="1" applyBorder="1" applyAlignment="1">
      <alignment horizontal="right"/>
    </xf>
    <xf numFmtId="43" fontId="4" fillId="3" borderId="1" xfId="2" applyFont="1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167" fontId="4" fillId="0" borderId="1" xfId="2" applyNumberFormat="1" applyFont="1" applyFill="1" applyBorder="1"/>
    <xf numFmtId="167" fontId="4" fillId="5" borderId="1" xfId="2" applyNumberFormat="1" applyFont="1" applyFill="1" applyBorder="1" applyAlignment="1">
      <alignment horizontal="right"/>
    </xf>
    <xf numFmtId="43" fontId="4" fillId="5" borderId="1" xfId="2" applyFont="1" applyFill="1" applyBorder="1" applyAlignment="1">
      <alignment horizontal="right"/>
    </xf>
    <xf numFmtId="167" fontId="3" fillId="0" borderId="1" xfId="2" applyNumberFormat="1" applyFont="1" applyBorder="1"/>
    <xf numFmtId="167" fontId="3" fillId="0" borderId="1" xfId="2" applyNumberFormat="1" applyFont="1" applyBorder="1" applyAlignment="1">
      <alignment horizontal="right"/>
    </xf>
    <xf numFmtId="167" fontId="3" fillId="0" borderId="0" xfId="2" applyNumberFormat="1" applyFont="1"/>
    <xf numFmtId="167" fontId="3" fillId="0" borderId="0" xfId="2" applyNumberFormat="1" applyFont="1" applyFill="1"/>
    <xf numFmtId="167" fontId="3" fillId="4" borderId="1" xfId="2" applyNumberFormat="1" applyFont="1" applyFill="1" applyBorder="1"/>
    <xf numFmtId="167" fontId="15" fillId="0" borderId="1" xfId="2" applyNumberFormat="1" applyFont="1" applyBorder="1"/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7" fillId="2" borderId="0" xfId="0" applyFont="1" applyFill="1" applyAlignment="1">
      <alignment horizontal="center" vertical="center"/>
    </xf>
  </cellXfs>
  <cellStyles count="12">
    <cellStyle name="Comma" xfId="2" builtinId="3"/>
    <cellStyle name="Comma 2" xfId="5" xr:uid="{00000000-0005-0000-0000-000001000000}"/>
    <cellStyle name="Comma 2 2" xfId="6" xr:uid="{00000000-0005-0000-0000-000002000000}"/>
    <cellStyle name="Comma 2 2 2" xfId="10" xr:uid="{00000000-0005-0000-0000-000003000000}"/>
    <cellStyle name="Comma 2 3" xfId="9" xr:uid="{00000000-0005-0000-0000-000004000000}"/>
    <cellStyle name="Comma 3" xfId="7" xr:uid="{00000000-0005-0000-0000-000005000000}"/>
    <cellStyle name="Comma 3 2" xfId="11" xr:uid="{00000000-0005-0000-0000-000006000000}"/>
    <cellStyle name="Comma 4" xfId="8" xr:uid="{00000000-0005-0000-0000-000007000000}"/>
    <cellStyle name="Comma 5" xfId="4" xr:uid="{00000000-0005-0000-0000-000008000000}"/>
    <cellStyle name="Normal" xfId="0" builtinId="0"/>
    <cellStyle name="Percent" xfId="1" builtinId="5"/>
    <cellStyle name="Style 1" xfId="3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U78"/>
  <sheetViews>
    <sheetView tabSelected="1" zoomScale="81" zoomScaleNormal="115" zoomScaleSheetLayoutView="91" workbookViewId="0">
      <selection activeCell="W8" sqref="W8"/>
    </sheetView>
  </sheetViews>
  <sheetFormatPr defaultColWidth="9.109375" defaultRowHeight="15" customHeight="1" x14ac:dyDescent="0.2"/>
  <cols>
    <col min="1" max="1" width="49" style="1" bestFit="1" customWidth="1"/>
    <col min="2" max="2" width="11.88671875" style="1" hidden="1" customWidth="1"/>
    <col min="3" max="6" width="12.109375" style="1" hidden="1" customWidth="1"/>
    <col min="7" max="9" width="12" style="1" customWidth="1"/>
    <col min="10" max="10" width="2.33203125" style="1" customWidth="1"/>
    <col min="11" max="11" width="0.44140625" style="1" customWidth="1"/>
    <col min="12" max="12" width="55.88671875" style="1" bestFit="1" customWidth="1"/>
    <col min="13" max="13" width="12.33203125" style="16" hidden="1" customWidth="1"/>
    <col min="14" max="14" width="12.44140625" style="16" hidden="1" customWidth="1"/>
    <col min="15" max="15" width="12" style="1" hidden="1" customWidth="1"/>
    <col min="16" max="16" width="9.109375" style="1" hidden="1" customWidth="1"/>
    <col min="17" max="17" width="10.88671875" style="1" hidden="1" customWidth="1"/>
    <col min="18" max="18" width="10.88671875" style="1" customWidth="1"/>
    <col min="19" max="19" width="14.88671875" style="1" bestFit="1" customWidth="1"/>
    <col min="20" max="16384" width="9.109375" style="1"/>
  </cols>
  <sheetData>
    <row r="1" spans="1:20" ht="15" customHeight="1" x14ac:dyDescent="0.2">
      <c r="A1" s="66" t="s">
        <v>102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15" customHeight="1" x14ac:dyDescent="0.3">
      <c r="A2" s="62" t="s">
        <v>58</v>
      </c>
      <c r="B2" s="63"/>
      <c r="C2" s="63"/>
      <c r="D2" s="63"/>
      <c r="E2" s="63"/>
      <c r="F2" s="63"/>
      <c r="G2" s="63"/>
      <c r="H2" s="63"/>
      <c r="I2" s="63"/>
      <c r="J2" s="2"/>
      <c r="K2" s="2"/>
      <c r="L2" s="61" t="s">
        <v>59</v>
      </c>
      <c r="M2" s="61"/>
      <c r="N2" s="61"/>
      <c r="O2" s="61"/>
      <c r="P2" s="61"/>
      <c r="Q2" s="61"/>
      <c r="R2" s="61"/>
      <c r="S2" s="61"/>
    </row>
    <row r="3" spans="1:20" ht="15" customHeight="1" x14ac:dyDescent="0.2">
      <c r="A3" s="3" t="s">
        <v>0</v>
      </c>
      <c r="B3" s="10" t="s">
        <v>64</v>
      </c>
      <c r="C3" s="10" t="s">
        <v>69</v>
      </c>
      <c r="D3" s="10" t="s">
        <v>70</v>
      </c>
      <c r="E3" s="10" t="s">
        <v>83</v>
      </c>
      <c r="F3" s="10" t="s">
        <v>84</v>
      </c>
      <c r="G3" s="10" t="s">
        <v>116</v>
      </c>
      <c r="H3" s="10" t="s">
        <v>117</v>
      </c>
      <c r="I3" s="10" t="s">
        <v>121</v>
      </c>
      <c r="J3" s="2"/>
      <c r="K3" s="2"/>
      <c r="L3" s="3" t="s">
        <v>0</v>
      </c>
      <c r="M3" s="52" t="s">
        <v>64</v>
      </c>
      <c r="N3" s="52" t="s">
        <v>69</v>
      </c>
      <c r="O3" s="52" t="s">
        <v>70</v>
      </c>
      <c r="P3" s="52" t="s">
        <v>83</v>
      </c>
      <c r="Q3" s="52" t="s">
        <v>84</v>
      </c>
      <c r="R3" s="52" t="s">
        <v>116</v>
      </c>
      <c r="S3" s="10" t="s">
        <v>117</v>
      </c>
      <c r="T3" s="10" t="s">
        <v>118</v>
      </c>
    </row>
    <row r="4" spans="1:20" ht="15" customHeight="1" x14ac:dyDescent="0.2">
      <c r="A4" s="9" t="s">
        <v>72</v>
      </c>
      <c r="B4" s="51">
        <v>6563.74</v>
      </c>
      <c r="C4" s="51">
        <v>7256.13</v>
      </c>
      <c r="D4" s="51">
        <v>6220.17</v>
      </c>
      <c r="E4" s="51">
        <v>9043.2199999999993</v>
      </c>
      <c r="F4" s="51">
        <v>11177.1</v>
      </c>
      <c r="G4" s="51">
        <v>10619.1</v>
      </c>
      <c r="H4" s="51">
        <v>11004.1</v>
      </c>
      <c r="I4" s="51">
        <v>9956.1</v>
      </c>
      <c r="J4" s="5"/>
      <c r="K4" s="5"/>
      <c r="L4" s="6" t="s">
        <v>103</v>
      </c>
      <c r="M4" s="54">
        <v>207.321</v>
      </c>
      <c r="N4" s="54">
        <v>207.321</v>
      </c>
      <c r="O4" s="54">
        <v>207.321</v>
      </c>
      <c r="P4" s="54">
        <v>207.3</v>
      </c>
      <c r="Q4" s="54">
        <v>207.3</v>
      </c>
      <c r="R4" s="54">
        <v>207.3</v>
      </c>
      <c r="S4" s="54">
        <v>207.3</v>
      </c>
      <c r="T4" s="54">
        <v>207.3</v>
      </c>
    </row>
    <row r="5" spans="1:20" ht="15" customHeight="1" x14ac:dyDescent="0.2">
      <c r="A5" s="18" t="s">
        <v>1</v>
      </c>
      <c r="B5" s="7"/>
      <c r="C5" s="17">
        <f t="shared" ref="C5:G5" si="0">(C4/B4-1)</f>
        <v>0.10548711557739954</v>
      </c>
      <c r="D5" s="17">
        <f t="shared" si="0"/>
        <v>-0.14277031971588161</v>
      </c>
      <c r="E5" s="17">
        <f t="shared" si="0"/>
        <v>0.45385415511151606</v>
      </c>
      <c r="F5" s="17">
        <f t="shared" si="0"/>
        <v>0.23596462322049017</v>
      </c>
      <c r="G5" s="17">
        <f t="shared" si="0"/>
        <v>-4.9923504307915256E-2</v>
      </c>
      <c r="H5" s="17">
        <f>(H4/G4-1)</f>
        <v>3.6255426542739055E-2</v>
      </c>
      <c r="I5" s="17">
        <v>0</v>
      </c>
      <c r="L5" s="6" t="s">
        <v>104</v>
      </c>
      <c r="M5" s="8">
        <v>4629.8950000000004</v>
      </c>
      <c r="N5" s="54">
        <v>5244.415</v>
      </c>
      <c r="O5" s="54">
        <v>5833.58</v>
      </c>
      <c r="P5" s="54">
        <v>6665.3</v>
      </c>
      <c r="Q5" s="54">
        <v>7556.7</v>
      </c>
      <c r="R5" s="54">
        <v>7740.7</v>
      </c>
      <c r="S5" s="54">
        <v>8133.1</v>
      </c>
      <c r="T5" s="54">
        <v>8132.7</v>
      </c>
    </row>
    <row r="6" spans="1:20" ht="15" customHeight="1" x14ac:dyDescent="0.2">
      <c r="A6" s="18" t="s">
        <v>108</v>
      </c>
      <c r="B6" s="7"/>
      <c r="C6" s="17"/>
      <c r="D6" s="17"/>
      <c r="E6" s="17">
        <f>((E4/B4)^(1/3))-1</f>
        <v>0.11273199454547878</v>
      </c>
      <c r="F6" s="17">
        <f>((F4/C4)^(1/3))-1</f>
        <v>0.1548919669407216</v>
      </c>
      <c r="G6" s="17">
        <f>((G4/D4)^(1/3))-1</f>
        <v>0.19516670326884511</v>
      </c>
      <c r="H6" s="17">
        <f>((H4/E4)^(1/3))-1</f>
        <v>6.7604700763028269E-2</v>
      </c>
      <c r="I6" s="17">
        <v>0</v>
      </c>
      <c r="L6" s="4" t="s">
        <v>105</v>
      </c>
      <c r="M6" s="36">
        <f t="shared" ref="M6:Q6" si="1">SUM(M4:M5)</f>
        <v>4837.2160000000003</v>
      </c>
      <c r="N6" s="36">
        <f t="shared" si="1"/>
        <v>5451.7359999999999</v>
      </c>
      <c r="O6" s="36">
        <f t="shared" si="1"/>
        <v>6040.9009999999998</v>
      </c>
      <c r="P6" s="36">
        <f t="shared" si="1"/>
        <v>6872.6</v>
      </c>
      <c r="Q6" s="36">
        <f t="shared" si="1"/>
        <v>7764</v>
      </c>
      <c r="R6" s="36">
        <f>SUM(R4:R5)</f>
        <v>7948</v>
      </c>
      <c r="S6" s="36">
        <f>SUM(S4:S5)</f>
        <v>8340.4</v>
      </c>
      <c r="T6" s="36">
        <f>SUM(T4:T5)</f>
        <v>8340</v>
      </c>
    </row>
    <row r="7" spans="1:20" ht="15" customHeight="1" x14ac:dyDescent="0.2">
      <c r="A7" s="4" t="s">
        <v>3</v>
      </c>
      <c r="B7" s="36">
        <f t="shared" ref="B7:F7" si="2">SUM(B8:B14)</f>
        <v>5580.33</v>
      </c>
      <c r="C7" s="36">
        <f t="shared" si="2"/>
        <v>6011.8599999999988</v>
      </c>
      <c r="D7" s="36">
        <f t="shared" si="2"/>
        <v>5064.5410000000002</v>
      </c>
      <c r="E7" s="36">
        <f t="shared" si="2"/>
        <v>7241.0199999999986</v>
      </c>
      <c r="F7" s="36">
        <f t="shared" si="2"/>
        <v>9001.1</v>
      </c>
      <c r="G7" s="36">
        <f>SUM(G8:G14)</f>
        <v>9200.4</v>
      </c>
      <c r="H7" s="36">
        <f>SUM(H8:H14)</f>
        <v>9139.1</v>
      </c>
      <c r="I7" s="36">
        <f>SUM(I8:I14)</f>
        <v>7942.1</v>
      </c>
      <c r="L7" s="6" t="s">
        <v>23</v>
      </c>
      <c r="M7" s="54">
        <v>128.6</v>
      </c>
      <c r="N7" s="54">
        <v>163.1</v>
      </c>
      <c r="O7" s="54">
        <v>117.3</v>
      </c>
      <c r="P7" s="54">
        <v>83.3</v>
      </c>
      <c r="Q7" s="54">
        <v>27</v>
      </c>
      <c r="R7" s="54">
        <v>0</v>
      </c>
      <c r="S7" s="54">
        <v>0</v>
      </c>
      <c r="T7" s="54">
        <v>0</v>
      </c>
    </row>
    <row r="8" spans="1:20" ht="15" customHeight="1" x14ac:dyDescent="0.2">
      <c r="A8" s="6" t="s">
        <v>74</v>
      </c>
      <c r="B8" s="54">
        <v>1640.5</v>
      </c>
      <c r="C8" s="54">
        <v>1742.65</v>
      </c>
      <c r="D8" s="54">
        <v>1489.44</v>
      </c>
      <c r="E8" s="54">
        <v>982.4</v>
      </c>
      <c r="F8" s="54">
        <v>1394.7</v>
      </c>
      <c r="G8" s="54">
        <v>1168.3</v>
      </c>
      <c r="H8" s="54">
        <v>1072.4000000000001</v>
      </c>
      <c r="I8" s="54">
        <v>863.4</v>
      </c>
      <c r="L8" s="6" t="s">
        <v>24</v>
      </c>
      <c r="M8" s="54">
        <v>317.39999999999998</v>
      </c>
      <c r="N8" s="54">
        <v>154.5</v>
      </c>
      <c r="O8" s="54">
        <v>230.8</v>
      </c>
      <c r="P8" s="54">
        <v>601</v>
      </c>
      <c r="Q8" s="54">
        <v>1992.9</v>
      </c>
      <c r="R8" s="54">
        <v>2169.9</v>
      </c>
      <c r="S8" s="54">
        <v>2869.3</v>
      </c>
      <c r="T8" s="54">
        <v>5063.3999999999996</v>
      </c>
    </row>
    <row r="9" spans="1:20" ht="15" customHeight="1" x14ac:dyDescent="0.2">
      <c r="A9" s="6" t="s">
        <v>75</v>
      </c>
      <c r="B9" s="54">
        <v>1949.83</v>
      </c>
      <c r="C9" s="54">
        <v>2339.81</v>
      </c>
      <c r="D9" s="54">
        <v>1689.45</v>
      </c>
      <c r="E9" s="54">
        <v>4679.7</v>
      </c>
      <c r="F9" s="54">
        <v>6149.3</v>
      </c>
      <c r="G9" s="54">
        <v>4712.7</v>
      </c>
      <c r="H9" s="54">
        <v>5340.5</v>
      </c>
      <c r="I9" s="54">
        <v>4438.2</v>
      </c>
      <c r="L9" s="4" t="s">
        <v>25</v>
      </c>
      <c r="M9" s="36">
        <f t="shared" ref="M9:P9" si="3">(M7+M8)</f>
        <v>446</v>
      </c>
      <c r="N9" s="36">
        <f t="shared" si="3"/>
        <v>317.60000000000002</v>
      </c>
      <c r="O9" s="36">
        <f t="shared" si="3"/>
        <v>348.1</v>
      </c>
      <c r="P9" s="36">
        <f t="shared" si="3"/>
        <v>684.3</v>
      </c>
      <c r="Q9" s="36">
        <f>(Q7+Q8)</f>
        <v>2019.9</v>
      </c>
      <c r="R9" s="36">
        <f>(R7+R8)</f>
        <v>2169.9</v>
      </c>
      <c r="S9" s="36">
        <f>S7+S8</f>
        <v>2869.3</v>
      </c>
      <c r="T9" s="36">
        <f>T7+T8</f>
        <v>5063.3999999999996</v>
      </c>
    </row>
    <row r="10" spans="1:20" ht="15" customHeight="1" x14ac:dyDescent="0.2">
      <c r="A10" s="6" t="s">
        <v>60</v>
      </c>
      <c r="B10" s="54">
        <v>-146.41</v>
      </c>
      <c r="C10" s="54">
        <v>-251.09</v>
      </c>
      <c r="D10" s="54">
        <v>130.995</v>
      </c>
      <c r="E10" s="54">
        <v>-795.65</v>
      </c>
      <c r="F10" s="54">
        <v>-1615.7</v>
      </c>
      <c r="G10" s="54">
        <v>219.9</v>
      </c>
      <c r="H10" s="54">
        <v>-682.7</v>
      </c>
      <c r="I10" s="54">
        <v>-299.7</v>
      </c>
      <c r="L10" s="4" t="s">
        <v>26</v>
      </c>
      <c r="M10" s="36">
        <f t="shared" ref="M10:P10" si="4">(M6+M7+M46+M44+M45+M47)</f>
        <v>5152.4859999999999</v>
      </c>
      <c r="N10" s="36">
        <f t="shared" si="4"/>
        <v>6518.3150000000005</v>
      </c>
      <c r="O10" s="36">
        <f t="shared" si="4"/>
        <v>7074.2460000000001</v>
      </c>
      <c r="P10" s="36">
        <f t="shared" si="4"/>
        <v>7953.4000000000005</v>
      </c>
      <c r="Q10" s="36">
        <f>(Q6+Q7+Q46+Q44+Q45+Q47)</f>
        <v>9527.1999999999989</v>
      </c>
      <c r="R10" s="36">
        <f>(R6+R7+R46+R44+R45+R47)</f>
        <v>9917.7000000000007</v>
      </c>
      <c r="S10" s="36">
        <f>(S6+S7+S46+S44+S45+S47)</f>
        <v>10822.8</v>
      </c>
      <c r="T10" s="36">
        <f>(T6+T7+T46+T44+T45+T47)</f>
        <v>10916.3</v>
      </c>
    </row>
    <row r="11" spans="1:20" ht="15" customHeight="1" x14ac:dyDescent="0.2">
      <c r="A11" s="6" t="s">
        <v>45</v>
      </c>
      <c r="B11" s="54">
        <v>594.91</v>
      </c>
      <c r="C11" s="54">
        <v>696.19</v>
      </c>
      <c r="D11" s="54">
        <v>598.85599999999999</v>
      </c>
      <c r="E11" s="54">
        <v>811.77</v>
      </c>
      <c r="F11" s="54">
        <v>966.1</v>
      </c>
      <c r="G11" s="54">
        <v>1061.3</v>
      </c>
      <c r="H11" s="54">
        <v>1224.9000000000001</v>
      </c>
      <c r="I11" s="54">
        <v>1103.8</v>
      </c>
      <c r="L11" s="4" t="s">
        <v>26</v>
      </c>
      <c r="M11" s="36">
        <f t="shared" ref="M11:P11" si="5">M49-M36</f>
        <v>5152.5420000000013</v>
      </c>
      <c r="N11" s="36">
        <f t="shared" si="5"/>
        <v>6518.1810000000005</v>
      </c>
      <c r="O11" s="36">
        <f t="shared" si="5"/>
        <v>7074.1189999999988</v>
      </c>
      <c r="P11" s="36">
        <f t="shared" si="5"/>
        <v>7953.4000000000015</v>
      </c>
      <c r="Q11" s="36">
        <f>Q49-Q36</f>
        <v>9527.2000000000007</v>
      </c>
      <c r="R11" s="36">
        <f>R49-R36</f>
        <v>9917.7000000000007</v>
      </c>
      <c r="S11" s="36">
        <f>S49-S36</f>
        <v>10822.8</v>
      </c>
      <c r="T11" s="36">
        <f>T49-T36</f>
        <v>10916.3</v>
      </c>
    </row>
    <row r="12" spans="1:20" ht="15" customHeight="1" x14ac:dyDescent="0.2">
      <c r="A12" s="6" t="s">
        <v>113</v>
      </c>
      <c r="B12" s="54">
        <v>46.6</v>
      </c>
      <c r="C12" s="54">
        <v>16.2</v>
      </c>
      <c r="D12" s="54">
        <v>18</v>
      </c>
      <c r="E12" s="54" t="s">
        <v>114</v>
      </c>
      <c r="F12" s="54" t="s">
        <v>114</v>
      </c>
      <c r="G12" s="54" t="s">
        <v>114</v>
      </c>
      <c r="H12" s="54" t="s">
        <v>114</v>
      </c>
      <c r="I12" s="54" t="s">
        <v>114</v>
      </c>
      <c r="L12" s="2"/>
      <c r="M12" s="35"/>
      <c r="N12" s="35"/>
      <c r="O12" s="35"/>
      <c r="P12" s="35"/>
      <c r="Q12" s="35"/>
      <c r="R12" s="35"/>
      <c r="S12" s="35"/>
      <c r="T12" s="35"/>
    </row>
    <row r="13" spans="1:20" ht="15" customHeight="1" x14ac:dyDescent="0.2">
      <c r="A13" s="6" t="s">
        <v>109</v>
      </c>
      <c r="B13" s="54">
        <v>360</v>
      </c>
      <c r="C13" s="55">
        <v>300.7</v>
      </c>
      <c r="D13" s="55">
        <v>110</v>
      </c>
      <c r="E13" s="55">
        <v>240.9</v>
      </c>
      <c r="F13" s="55">
        <v>465.7</v>
      </c>
      <c r="G13" s="55">
        <v>345.8</v>
      </c>
      <c r="H13" s="55">
        <v>433.5</v>
      </c>
      <c r="I13" s="55">
        <v>375.1</v>
      </c>
      <c r="M13" s="56"/>
      <c r="N13" s="56"/>
      <c r="O13" s="56"/>
      <c r="P13" s="56"/>
      <c r="Q13" s="56"/>
      <c r="R13" s="57"/>
      <c r="S13" s="57"/>
      <c r="T13" s="57"/>
    </row>
    <row r="14" spans="1:20" ht="15" customHeight="1" x14ac:dyDescent="0.2">
      <c r="A14" s="6" t="s">
        <v>46</v>
      </c>
      <c r="B14" s="54">
        <v>1134.9000000000001</v>
      </c>
      <c r="C14" s="54">
        <v>1167.4000000000001</v>
      </c>
      <c r="D14" s="54">
        <v>1027.8</v>
      </c>
      <c r="E14" s="54">
        <v>1321.9</v>
      </c>
      <c r="F14" s="54">
        <v>1641</v>
      </c>
      <c r="G14" s="54">
        <v>1692.4</v>
      </c>
      <c r="H14" s="54">
        <v>1750.5</v>
      </c>
      <c r="I14" s="54">
        <v>1461.3</v>
      </c>
      <c r="L14" s="4" t="s">
        <v>76</v>
      </c>
      <c r="M14" s="36">
        <f t="shared" ref="M14:Q14" si="6">SUM(M15:M25)</f>
        <v>2190.5129999999999</v>
      </c>
      <c r="N14" s="36">
        <f t="shared" si="6"/>
        <v>2970.9039999999995</v>
      </c>
      <c r="O14" s="36">
        <f t="shared" si="6"/>
        <v>2573.4279999999994</v>
      </c>
      <c r="P14" s="36">
        <f t="shared" si="6"/>
        <v>3150.7999999999997</v>
      </c>
      <c r="Q14" s="36">
        <f t="shared" si="6"/>
        <v>4337.5999999999995</v>
      </c>
      <c r="R14" s="36">
        <f>SUM(R15:R25)</f>
        <v>5320.6</v>
      </c>
      <c r="S14" s="36">
        <f>SUM(S15:S25)</f>
        <v>5526.0999999999985</v>
      </c>
      <c r="T14" s="36">
        <f>SUM(T15:T25)</f>
        <v>5657.5</v>
      </c>
    </row>
    <row r="15" spans="1:20" ht="15" customHeight="1" x14ac:dyDescent="0.2">
      <c r="A15" s="4" t="s">
        <v>4</v>
      </c>
      <c r="B15" s="36">
        <f t="shared" ref="B15:E15" si="7">B4-B7</f>
        <v>983.40999999999985</v>
      </c>
      <c r="C15" s="36">
        <f t="shared" si="7"/>
        <v>1244.2700000000013</v>
      </c>
      <c r="D15" s="36">
        <f t="shared" si="7"/>
        <v>1155.6289999999999</v>
      </c>
      <c r="E15" s="36">
        <f t="shared" si="7"/>
        <v>1802.2000000000007</v>
      </c>
      <c r="F15" s="36">
        <f>F4-F7</f>
        <v>2176</v>
      </c>
      <c r="G15" s="36">
        <f>G4-G7</f>
        <v>1418.7000000000007</v>
      </c>
      <c r="H15" s="36">
        <f>H4-H7</f>
        <v>1865</v>
      </c>
      <c r="I15" s="36">
        <f>I4-I7</f>
        <v>2014</v>
      </c>
      <c r="L15" s="6" t="s">
        <v>82</v>
      </c>
      <c r="M15" s="54">
        <v>1485.53</v>
      </c>
      <c r="N15" s="54">
        <v>1517.8030000000001</v>
      </c>
      <c r="O15" s="58">
        <v>1492.6869999999999</v>
      </c>
      <c r="P15" s="58">
        <v>1530.5</v>
      </c>
      <c r="Q15" s="58">
        <v>1554.1</v>
      </c>
      <c r="R15" s="58">
        <v>1786.2</v>
      </c>
      <c r="S15" s="58">
        <v>1831.1</v>
      </c>
      <c r="T15" s="58">
        <v>1751.7</v>
      </c>
    </row>
    <row r="16" spans="1:20" ht="15" customHeight="1" x14ac:dyDescent="0.2">
      <c r="A16" s="18" t="s">
        <v>1</v>
      </c>
      <c r="B16" s="7"/>
      <c r="C16" s="17">
        <f t="shared" ref="C16:G16" si="8">(C15/B15-1)</f>
        <v>0.26526067459147407</v>
      </c>
      <c r="D16" s="17">
        <f t="shared" si="8"/>
        <v>-7.123936123188801E-2</v>
      </c>
      <c r="E16" s="17">
        <f t="shared" si="8"/>
        <v>0.55949703581339771</v>
      </c>
      <c r="F16" s="17">
        <f t="shared" si="8"/>
        <v>0.20741316169126578</v>
      </c>
      <c r="G16" s="17">
        <f t="shared" si="8"/>
        <v>-0.3480238970588232</v>
      </c>
      <c r="H16" s="17">
        <f>(H15/G15-1)</f>
        <v>0.31458377387749281</v>
      </c>
      <c r="I16" s="17" t="s">
        <v>120</v>
      </c>
      <c r="L16" s="6" t="s">
        <v>80</v>
      </c>
      <c r="M16" s="54">
        <v>0</v>
      </c>
      <c r="N16" s="54">
        <v>758.57399999999996</v>
      </c>
      <c r="O16" s="54">
        <v>752.12</v>
      </c>
      <c r="P16" s="54">
        <v>784.2</v>
      </c>
      <c r="Q16" s="54">
        <v>1181.3</v>
      </c>
      <c r="R16" s="54">
        <v>1469.7</v>
      </c>
      <c r="S16" s="54">
        <v>2020.3</v>
      </c>
      <c r="T16" s="54">
        <v>2075.6999999999998</v>
      </c>
    </row>
    <row r="17" spans="1:20" ht="15" customHeight="1" x14ac:dyDescent="0.2">
      <c r="A17" s="18" t="s">
        <v>108</v>
      </c>
      <c r="B17" s="7"/>
      <c r="C17" s="17"/>
      <c r="D17" s="17"/>
      <c r="E17" s="17">
        <f>((E15/B15)^(1/3))-1</f>
        <v>0.22374084291082408</v>
      </c>
      <c r="F17" s="17">
        <f>((F15/C15)^(1/3))-1</f>
        <v>0.20479943062601258</v>
      </c>
      <c r="G17" s="17">
        <f>((G15/D15)^(1/3))-1</f>
        <v>7.0756482451503011E-2</v>
      </c>
      <c r="H17" s="17">
        <f>((H15/E15)^(1/3))-1</f>
        <v>1.1483067429424176E-2</v>
      </c>
      <c r="I17" s="17" t="s">
        <v>120</v>
      </c>
      <c r="L17" s="6" t="s">
        <v>62</v>
      </c>
      <c r="M17" s="54">
        <v>0.23799999999999999</v>
      </c>
      <c r="N17" s="54">
        <v>24.853999999999999</v>
      </c>
      <c r="O17" s="54">
        <v>11.6</v>
      </c>
      <c r="P17" s="54">
        <v>12.7</v>
      </c>
      <c r="Q17" s="54">
        <v>193.7</v>
      </c>
      <c r="R17" s="54">
        <v>0.8</v>
      </c>
      <c r="S17" s="54">
        <v>3</v>
      </c>
      <c r="T17" s="54">
        <v>0</v>
      </c>
    </row>
    <row r="18" spans="1:20" ht="15" customHeight="1" x14ac:dyDescent="0.2">
      <c r="A18" s="4" t="s">
        <v>5</v>
      </c>
      <c r="B18" s="37">
        <f t="shared" ref="B18:F18" si="9">(B15/B4)</f>
        <v>0.1498246426579968</v>
      </c>
      <c r="C18" s="37">
        <f t="shared" si="9"/>
        <v>0.17147846028116934</v>
      </c>
      <c r="D18" s="37">
        <f t="shared" si="9"/>
        <v>0.18578736594015918</v>
      </c>
      <c r="E18" s="37">
        <f t="shared" si="9"/>
        <v>0.19928742195810795</v>
      </c>
      <c r="F18" s="37">
        <f t="shared" si="9"/>
        <v>0.19468377307172702</v>
      </c>
      <c r="G18" s="37">
        <f>(G15/G4)</f>
        <v>0.13359889256151658</v>
      </c>
      <c r="H18" s="37">
        <f>(H15/H4)</f>
        <v>0.16948228387600983</v>
      </c>
      <c r="I18" s="37">
        <f>(I15/I4)</f>
        <v>0.2022880445154227</v>
      </c>
      <c r="L18" s="6" t="s">
        <v>85</v>
      </c>
      <c r="M18" s="54">
        <v>9.4359999999999999</v>
      </c>
      <c r="N18" s="54">
        <v>5.758</v>
      </c>
      <c r="O18" s="54">
        <v>3.601</v>
      </c>
      <c r="P18" s="54">
        <v>3.6</v>
      </c>
      <c r="Q18" s="54">
        <v>73.7</v>
      </c>
      <c r="R18" s="54">
        <v>59.7</v>
      </c>
      <c r="S18" s="54">
        <v>45</v>
      </c>
      <c r="T18" s="54">
        <v>37.9</v>
      </c>
    </row>
    <row r="19" spans="1:20" ht="15" customHeight="1" x14ac:dyDescent="0.2">
      <c r="A19" s="6" t="s">
        <v>6</v>
      </c>
      <c r="B19" s="8">
        <v>182.28</v>
      </c>
      <c r="C19" s="8">
        <v>115.17</v>
      </c>
      <c r="D19" s="8">
        <v>201.70699999999999</v>
      </c>
      <c r="E19" s="8">
        <v>252</v>
      </c>
      <c r="F19" s="8">
        <v>208.3</v>
      </c>
      <c r="G19" s="8">
        <v>275</v>
      </c>
      <c r="H19" s="8">
        <v>351.7</v>
      </c>
      <c r="I19" s="8">
        <v>281.7</v>
      </c>
      <c r="L19" s="6" t="s">
        <v>86</v>
      </c>
      <c r="M19" s="54">
        <v>0</v>
      </c>
      <c r="N19" s="54">
        <v>0</v>
      </c>
      <c r="O19" s="54">
        <v>0</v>
      </c>
      <c r="P19" s="54">
        <v>18.3</v>
      </c>
      <c r="Q19" s="54">
        <v>0</v>
      </c>
      <c r="R19" s="54">
        <v>0</v>
      </c>
      <c r="S19" s="54">
        <v>0</v>
      </c>
      <c r="T19" s="54">
        <v>0</v>
      </c>
    </row>
    <row r="20" spans="1:20" ht="15" customHeight="1" x14ac:dyDescent="0.2">
      <c r="A20" s="6" t="s">
        <v>7</v>
      </c>
      <c r="B20" s="8">
        <v>191</v>
      </c>
      <c r="C20" s="8">
        <v>334</v>
      </c>
      <c r="D20" s="8">
        <v>342.00299999999999</v>
      </c>
      <c r="E20" s="8">
        <v>372.529</v>
      </c>
      <c r="F20" s="8">
        <v>417.7</v>
      </c>
      <c r="G20" s="8">
        <v>512.20000000000005</v>
      </c>
      <c r="H20" s="8">
        <v>601.70000000000005</v>
      </c>
      <c r="I20" s="8">
        <v>483.6</v>
      </c>
      <c r="L20" s="34" t="s">
        <v>119</v>
      </c>
      <c r="M20" s="54">
        <v>42.6</v>
      </c>
      <c r="N20" s="54">
        <v>40.299999999999997</v>
      </c>
      <c r="O20" s="54">
        <v>57.7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</row>
    <row r="21" spans="1:20" ht="15" customHeight="1" x14ac:dyDescent="0.2">
      <c r="A21" s="6" t="s">
        <v>61</v>
      </c>
      <c r="B21" s="8">
        <v>89.46</v>
      </c>
      <c r="C21" s="8">
        <v>170.1</v>
      </c>
      <c r="D21" s="8">
        <v>135.10400000000001</v>
      </c>
      <c r="E21" s="8">
        <v>156.9</v>
      </c>
      <c r="F21" s="8">
        <v>244.5</v>
      </c>
      <c r="G21" s="8">
        <v>374.8</v>
      </c>
      <c r="H21" s="8">
        <v>475.9</v>
      </c>
      <c r="I21" s="8">
        <v>389.8</v>
      </c>
      <c r="L21" s="6" t="s">
        <v>111</v>
      </c>
      <c r="M21" s="8">
        <v>477.2</v>
      </c>
      <c r="N21" s="8">
        <v>357.1</v>
      </c>
      <c r="O21" s="58">
        <v>39.200000000000003</v>
      </c>
      <c r="P21" s="58">
        <v>543.6</v>
      </c>
      <c r="Q21" s="58">
        <v>638</v>
      </c>
      <c r="R21" s="58">
        <v>1045.9000000000001</v>
      </c>
      <c r="S21" s="58">
        <v>1078</v>
      </c>
      <c r="T21" s="58">
        <v>1034.8</v>
      </c>
    </row>
    <row r="22" spans="1:20" ht="15" customHeight="1" x14ac:dyDescent="0.2">
      <c r="A22" s="6" t="s">
        <v>8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L22" s="6" t="s">
        <v>112</v>
      </c>
      <c r="M22" s="8">
        <v>0.86</v>
      </c>
      <c r="N22" s="8">
        <v>81.2</v>
      </c>
      <c r="O22" s="54">
        <v>100.5</v>
      </c>
      <c r="P22" s="54">
        <v>71.900000000000006</v>
      </c>
      <c r="Q22" s="54">
        <v>366.7</v>
      </c>
      <c r="R22" s="54">
        <v>407.3</v>
      </c>
      <c r="S22" s="54">
        <v>146.5</v>
      </c>
      <c r="T22" s="54">
        <v>149</v>
      </c>
    </row>
    <row r="23" spans="1:20" ht="15" customHeight="1" x14ac:dyDescent="0.2">
      <c r="A23" s="4" t="s">
        <v>9</v>
      </c>
      <c r="B23" s="36">
        <f t="shared" ref="B23:F23" si="10">B15+B19-B20-B21</f>
        <v>885.22999999999979</v>
      </c>
      <c r="C23" s="36">
        <f t="shared" si="10"/>
        <v>855.3400000000014</v>
      </c>
      <c r="D23" s="36">
        <f t="shared" si="10"/>
        <v>880.22899999999981</v>
      </c>
      <c r="E23" s="36">
        <f t="shared" si="10"/>
        <v>1524.7710000000006</v>
      </c>
      <c r="F23" s="36">
        <f t="shared" si="10"/>
        <v>1722.1000000000001</v>
      </c>
      <c r="G23" s="36">
        <f>G15+G19-G20-G21</f>
        <v>806.70000000000073</v>
      </c>
      <c r="H23" s="36">
        <f>H15+H19-H20-H21</f>
        <v>1139.0999999999999</v>
      </c>
      <c r="I23" s="36">
        <f>I15+I19-I20-I21</f>
        <v>1422.3</v>
      </c>
      <c r="L23" s="6" t="s">
        <v>88</v>
      </c>
      <c r="M23" s="55">
        <v>90.79</v>
      </c>
      <c r="N23" s="54">
        <v>88.953999999999994</v>
      </c>
      <c r="O23" s="54">
        <v>0</v>
      </c>
      <c r="P23" s="54">
        <v>24.8</v>
      </c>
      <c r="Q23" s="54">
        <v>23.7</v>
      </c>
      <c r="R23" s="54">
        <v>153.1</v>
      </c>
      <c r="S23" s="54">
        <v>55.4</v>
      </c>
      <c r="T23" s="54">
        <v>193</v>
      </c>
    </row>
    <row r="24" spans="1:20" ht="15" customHeight="1" x14ac:dyDescent="0.2">
      <c r="A24" s="6" t="s">
        <v>10</v>
      </c>
      <c r="B24" s="54">
        <v>289.32600000000002</v>
      </c>
      <c r="C24" s="54">
        <v>228.39099999999999</v>
      </c>
      <c r="D24" s="54">
        <v>217.249</v>
      </c>
      <c r="E24" s="54">
        <v>385.392</v>
      </c>
      <c r="F24" s="54">
        <v>396.9</v>
      </c>
      <c r="G24" s="54">
        <v>207.3</v>
      </c>
      <c r="H24" s="54">
        <v>327.39999999999998</v>
      </c>
      <c r="I24" s="54">
        <v>352</v>
      </c>
      <c r="L24" s="6" t="s">
        <v>89</v>
      </c>
      <c r="M24" s="54">
        <v>71.206000000000003</v>
      </c>
      <c r="N24" s="54">
        <v>79.161000000000001</v>
      </c>
      <c r="O24" s="54">
        <v>91.228999999999999</v>
      </c>
      <c r="P24" s="54">
        <v>129.1</v>
      </c>
      <c r="Q24" s="54">
        <v>222.6</v>
      </c>
      <c r="R24" s="54">
        <v>254.2</v>
      </c>
      <c r="S24" s="54">
        <v>260.39999999999998</v>
      </c>
      <c r="T24" s="54">
        <v>274.3</v>
      </c>
    </row>
    <row r="25" spans="1:20" ht="15" customHeight="1" x14ac:dyDescent="0.2">
      <c r="A25" s="18" t="s">
        <v>11</v>
      </c>
      <c r="B25" s="38">
        <f t="shared" ref="B25:F25" si="11">(B24/B23)</f>
        <v>0.32683709318482213</v>
      </c>
      <c r="C25" s="38">
        <f t="shared" si="11"/>
        <v>0.2670177940935764</v>
      </c>
      <c r="D25" s="38">
        <f t="shared" si="11"/>
        <v>0.24680963703763456</v>
      </c>
      <c r="E25" s="38">
        <f t="shared" si="11"/>
        <v>0.25275402011187242</v>
      </c>
      <c r="F25" s="38">
        <f t="shared" si="11"/>
        <v>0.23047442076534461</v>
      </c>
      <c r="G25" s="38">
        <f>(G24/G23)</f>
        <v>0.25697285236147244</v>
      </c>
      <c r="H25" s="38">
        <f>(H24/H23)</f>
        <v>0.28741989289790187</v>
      </c>
      <c r="I25" s="38">
        <f>(I24/I23)</f>
        <v>0.24748646558391338</v>
      </c>
      <c r="L25" s="6" t="s">
        <v>63</v>
      </c>
      <c r="M25" s="54">
        <v>12.653</v>
      </c>
      <c r="N25" s="54">
        <v>17.2</v>
      </c>
      <c r="O25" s="54">
        <v>24.791</v>
      </c>
      <c r="P25" s="54">
        <v>32.1</v>
      </c>
      <c r="Q25" s="54">
        <v>83.8</v>
      </c>
      <c r="R25" s="54">
        <v>143.69999999999999</v>
      </c>
      <c r="S25" s="54">
        <v>86.4</v>
      </c>
      <c r="T25" s="54">
        <v>141.1</v>
      </c>
    </row>
    <row r="26" spans="1:20" ht="15" customHeight="1" x14ac:dyDescent="0.2">
      <c r="A26" s="4" t="s">
        <v>106</v>
      </c>
      <c r="B26" s="36">
        <f t="shared" ref="B26:F26" si="12">B23-B24</f>
        <v>595.90399999999977</v>
      </c>
      <c r="C26" s="36">
        <f t="shared" si="12"/>
        <v>626.94900000000143</v>
      </c>
      <c r="D26" s="36">
        <f t="shared" si="12"/>
        <v>662.97999999999979</v>
      </c>
      <c r="E26" s="36">
        <f t="shared" si="12"/>
        <v>1139.3790000000006</v>
      </c>
      <c r="F26" s="36">
        <f t="shared" si="12"/>
        <v>1325.2000000000003</v>
      </c>
      <c r="G26" s="36">
        <f>G23-G24</f>
        <v>599.40000000000077</v>
      </c>
      <c r="H26" s="36">
        <f>H23-H24</f>
        <v>811.69999999999993</v>
      </c>
      <c r="I26" s="36">
        <f>I23-I24</f>
        <v>1070.3</v>
      </c>
      <c r="L26" s="4" t="s">
        <v>77</v>
      </c>
      <c r="M26" s="36">
        <f t="shared" ref="M26" si="13">SUM(M27:M35)</f>
        <v>5692.8810000000012</v>
      </c>
      <c r="N26" s="36">
        <f t="shared" ref="N26:S26" si="14">SUM(N27:N35)</f>
        <v>6133.4100000000008</v>
      </c>
      <c r="O26" s="36">
        <f t="shared" si="14"/>
        <v>6792.4609999999993</v>
      </c>
      <c r="P26" s="36">
        <f t="shared" si="14"/>
        <v>8014.4000000000005</v>
      </c>
      <c r="Q26" s="36">
        <f t="shared" si="14"/>
        <v>10626.6</v>
      </c>
      <c r="R26" s="36">
        <f t="shared" si="14"/>
        <v>9840.1</v>
      </c>
      <c r="S26" s="36">
        <f t="shared" si="14"/>
        <v>11629</v>
      </c>
      <c r="T26" s="36">
        <f t="shared" ref="T26" si="15">SUM(T27:T35)</f>
        <v>13877.099999999999</v>
      </c>
    </row>
    <row r="27" spans="1:20" ht="15" customHeight="1" x14ac:dyDescent="0.2">
      <c r="A27" s="18" t="s">
        <v>1</v>
      </c>
      <c r="B27" s="17"/>
      <c r="C27" s="17">
        <f t="shared" ref="C27:G27" si="16">C26/B26-1</f>
        <v>5.2097317688758027E-2</v>
      </c>
      <c r="D27" s="17">
        <f t="shared" si="16"/>
        <v>5.7470384353429438E-2</v>
      </c>
      <c r="E27" s="17">
        <f t="shared" si="16"/>
        <v>0.71857220428972357</v>
      </c>
      <c r="F27" s="17">
        <f t="shared" si="16"/>
        <v>0.16308971817103846</v>
      </c>
      <c r="G27" s="17">
        <f t="shared" si="16"/>
        <v>-0.54769091457893104</v>
      </c>
      <c r="H27" s="17">
        <f>H26/G26-1</f>
        <v>0.35418752085418559</v>
      </c>
      <c r="I27" s="17" t="s">
        <v>120</v>
      </c>
      <c r="L27" s="6" t="s">
        <v>27</v>
      </c>
      <c r="M27" s="54">
        <v>1911.578</v>
      </c>
      <c r="N27" s="54">
        <v>2161.8209999999999</v>
      </c>
      <c r="O27" s="54">
        <v>2015.3920000000001</v>
      </c>
      <c r="P27" s="54">
        <v>2890.8</v>
      </c>
      <c r="Q27" s="54">
        <v>4604.2</v>
      </c>
      <c r="R27" s="54">
        <v>4346.2</v>
      </c>
      <c r="S27" s="54">
        <v>5031.8</v>
      </c>
      <c r="T27" s="54">
        <v>6469.2</v>
      </c>
    </row>
    <row r="28" spans="1:20" ht="15" customHeight="1" x14ac:dyDescent="0.2">
      <c r="A28" s="18" t="s">
        <v>2</v>
      </c>
      <c r="B28" s="17"/>
      <c r="C28" s="17"/>
      <c r="D28" s="17"/>
      <c r="E28" s="17">
        <f>((E26/B26)-1)^(1/3)</f>
        <v>0.96976779347997166</v>
      </c>
      <c r="F28" s="17">
        <f>((F26/C26)-1)^(1/3)</f>
        <v>1.0365568296339362</v>
      </c>
      <c r="G28" s="17">
        <f>((G26/D26)-1)^(1/3)</f>
        <v>-0.45772717684071723</v>
      </c>
      <c r="H28" s="17">
        <f>((H26/E26)-1)^(1/3)</f>
        <v>-0.66007527650275977</v>
      </c>
      <c r="I28" s="17" t="s">
        <v>120</v>
      </c>
      <c r="L28" s="34" t="s">
        <v>87</v>
      </c>
      <c r="M28" s="8"/>
      <c r="N28" s="8"/>
      <c r="O28" s="54"/>
      <c r="P28" s="54"/>
      <c r="Q28" s="54"/>
      <c r="R28" s="54"/>
      <c r="S28" s="54"/>
      <c r="T28" s="54"/>
    </row>
    <row r="29" spans="1:20" ht="15" customHeight="1" x14ac:dyDescent="0.2">
      <c r="A29" s="4" t="s">
        <v>54</v>
      </c>
      <c r="B29" s="39">
        <f t="shared" ref="B29:F29" si="17">(B26/B4)</f>
        <v>9.0787264577816884E-2</v>
      </c>
      <c r="C29" s="39">
        <f t="shared" si="17"/>
        <v>8.640266919142868E-2</v>
      </c>
      <c r="D29" s="39">
        <f t="shared" si="17"/>
        <v>0.10658551132846848</v>
      </c>
      <c r="E29" s="39">
        <f t="shared" si="17"/>
        <v>0.12599262209699649</v>
      </c>
      <c r="F29" s="39">
        <f t="shared" si="17"/>
        <v>0.11856384929901319</v>
      </c>
      <c r="G29" s="39">
        <f>(G26/G4)</f>
        <v>5.6445461479786491E-2</v>
      </c>
      <c r="H29" s="39">
        <f>(H26/H4)</f>
        <v>7.376341545423977E-2</v>
      </c>
      <c r="I29" s="39">
        <f>(I26/I4)</f>
        <v>0.10750193348801236</v>
      </c>
      <c r="L29" s="6" t="s">
        <v>81</v>
      </c>
      <c r="M29" s="54">
        <v>898.08199999999999</v>
      </c>
      <c r="N29" s="54">
        <v>979.35400000000004</v>
      </c>
      <c r="O29" s="54">
        <v>1735.9590000000001</v>
      </c>
      <c r="P29" s="54">
        <v>1630.8</v>
      </c>
      <c r="Q29" s="54">
        <v>1701.2</v>
      </c>
      <c r="R29" s="54">
        <v>1207.3</v>
      </c>
      <c r="S29" s="54">
        <v>1379</v>
      </c>
      <c r="T29" s="54">
        <v>1432.4</v>
      </c>
    </row>
    <row r="30" spans="1:20" ht="15" customHeight="1" x14ac:dyDescent="0.2">
      <c r="A30" s="6" t="s">
        <v>47</v>
      </c>
      <c r="B30" s="54">
        <v>-4.1100000000000003</v>
      </c>
      <c r="C30" s="54">
        <v>-7.6219999999999999</v>
      </c>
      <c r="D30" s="54">
        <v>29.884</v>
      </c>
      <c r="E30" s="54">
        <v>3.3010000000000002</v>
      </c>
      <c r="F30" s="54">
        <v>-18.899999999999999</v>
      </c>
      <c r="G30" s="54">
        <v>-0.6</v>
      </c>
      <c r="H30" s="54">
        <v>-4.7</v>
      </c>
      <c r="I30" s="54">
        <v>-3.5</v>
      </c>
      <c r="L30" s="6" t="s">
        <v>73</v>
      </c>
      <c r="M30" s="54">
        <v>2198.5279999999998</v>
      </c>
      <c r="N30" s="54">
        <v>2521.672</v>
      </c>
      <c r="O30" s="54">
        <v>2294.9969999999998</v>
      </c>
      <c r="P30" s="54">
        <v>2599.1</v>
      </c>
      <c r="Q30" s="54">
        <v>3801.8</v>
      </c>
      <c r="R30" s="54">
        <v>3700.8</v>
      </c>
      <c r="S30" s="54">
        <v>4161.8</v>
      </c>
      <c r="T30" s="54">
        <v>4407.2</v>
      </c>
    </row>
    <row r="31" spans="1:20" ht="15" customHeight="1" x14ac:dyDescent="0.2">
      <c r="A31" s="4" t="s">
        <v>110</v>
      </c>
      <c r="B31" s="36">
        <f t="shared" ref="B31:F31" si="18">B26+B30</f>
        <v>591.79399999999976</v>
      </c>
      <c r="C31" s="36">
        <f t="shared" si="18"/>
        <v>619.32700000000148</v>
      </c>
      <c r="D31" s="36">
        <f t="shared" si="18"/>
        <v>692.86399999999981</v>
      </c>
      <c r="E31" s="36">
        <f t="shared" si="18"/>
        <v>1142.6800000000005</v>
      </c>
      <c r="F31" s="36">
        <f t="shared" si="18"/>
        <v>1306.3000000000002</v>
      </c>
      <c r="G31" s="36">
        <f>G26+G30</f>
        <v>598.80000000000075</v>
      </c>
      <c r="H31" s="36">
        <f>H26+H30</f>
        <v>806.99999999999989</v>
      </c>
      <c r="I31" s="36">
        <f>I26+I30</f>
        <v>1066.8</v>
      </c>
      <c r="L31" s="6" t="s">
        <v>28</v>
      </c>
      <c r="M31" s="54">
        <v>326.55399999999997</v>
      </c>
      <c r="N31" s="54">
        <v>13.443</v>
      </c>
      <c r="O31" s="54">
        <v>4.4459999999999997</v>
      </c>
      <c r="P31" s="54">
        <v>4.2</v>
      </c>
      <c r="Q31" s="54">
        <v>17.100000000000001</v>
      </c>
      <c r="R31" s="54">
        <v>14.8</v>
      </c>
      <c r="S31" s="54">
        <v>9.8000000000000007</v>
      </c>
      <c r="T31" s="54">
        <v>37.6</v>
      </c>
    </row>
    <row r="32" spans="1:20" ht="15" customHeight="1" x14ac:dyDescent="0.2">
      <c r="A32" s="18" t="s">
        <v>1</v>
      </c>
      <c r="B32" s="17"/>
      <c r="C32" s="17">
        <f t="shared" ref="C32:G32" si="19">C31/B31-1</f>
        <v>4.6524635261597336E-2</v>
      </c>
      <c r="D32" s="17">
        <f t="shared" si="19"/>
        <v>0.11873695156193431</v>
      </c>
      <c r="E32" s="17">
        <f t="shared" si="19"/>
        <v>0.64921254387585559</v>
      </c>
      <c r="F32" s="17">
        <f t="shared" si="19"/>
        <v>0.14318969440263207</v>
      </c>
      <c r="G32" s="17">
        <f t="shared" si="19"/>
        <v>-0.54160606292582059</v>
      </c>
      <c r="H32" s="17">
        <f>H31/G31-1</f>
        <v>0.3476953907815612</v>
      </c>
      <c r="I32" s="17" t="s">
        <v>120</v>
      </c>
      <c r="L32" s="6" t="s">
        <v>90</v>
      </c>
      <c r="M32" s="54">
        <v>22.536000000000001</v>
      </c>
      <c r="N32" s="54">
        <v>114.229</v>
      </c>
      <c r="O32" s="54">
        <v>404.10199999999998</v>
      </c>
      <c r="P32" s="54">
        <v>476</v>
      </c>
      <c r="Q32" s="54">
        <v>129.80000000000001</v>
      </c>
      <c r="R32" s="54">
        <v>67.2</v>
      </c>
      <c r="S32" s="54">
        <v>344.9</v>
      </c>
      <c r="T32" s="54">
        <v>346.9</v>
      </c>
    </row>
    <row r="33" spans="1:20" ht="15" customHeight="1" x14ac:dyDescent="0.2">
      <c r="A33" s="18" t="s">
        <v>2</v>
      </c>
      <c r="B33" s="17"/>
      <c r="C33" s="17"/>
      <c r="D33" s="17"/>
      <c r="E33" s="17">
        <f>((E31/B31)^(1/3))-1</f>
        <v>0.24523510661878456</v>
      </c>
      <c r="F33" s="17">
        <f>((F31/C31)^(1/3))-1</f>
        <v>0.28245156247158842</v>
      </c>
      <c r="G33" s="17">
        <f>((G31/D31)^(1/3))-1</f>
        <v>-4.7471603407050922E-2</v>
      </c>
      <c r="H33" s="17">
        <f>((H31/E31)^(1/3))-1</f>
        <v>-0.10946778188877926</v>
      </c>
      <c r="I33" s="17" t="s">
        <v>120</v>
      </c>
      <c r="L33" s="6" t="s">
        <v>91</v>
      </c>
      <c r="M33" s="54">
        <v>11.904</v>
      </c>
      <c r="N33" s="54">
        <v>5.649</v>
      </c>
      <c r="O33" s="54">
        <v>4.3</v>
      </c>
      <c r="P33" s="54">
        <v>4.2</v>
      </c>
      <c r="Q33" s="54">
        <v>6</v>
      </c>
      <c r="R33" s="54">
        <v>6.1</v>
      </c>
      <c r="S33" s="54">
        <v>4.9000000000000004</v>
      </c>
      <c r="T33" s="54">
        <v>5.9</v>
      </c>
    </row>
    <row r="34" spans="1:20" ht="15" customHeight="1" x14ac:dyDescent="0.2">
      <c r="A34" s="9" t="s">
        <v>12</v>
      </c>
      <c r="B34" s="41">
        <v>26.85</v>
      </c>
      <c r="C34" s="41">
        <v>30.24</v>
      </c>
      <c r="D34" s="41">
        <v>31.98</v>
      </c>
      <c r="E34" s="41">
        <v>54.95</v>
      </c>
      <c r="F34" s="41">
        <v>63.92</v>
      </c>
      <c r="G34" s="41">
        <v>28.91</v>
      </c>
      <c r="H34" s="41">
        <v>39.15</v>
      </c>
      <c r="I34" s="41">
        <v>51.63</v>
      </c>
      <c r="L34" s="20" t="s">
        <v>92</v>
      </c>
      <c r="M34" s="54">
        <v>5.4480000000000004</v>
      </c>
      <c r="N34" s="54">
        <v>13.569000000000001</v>
      </c>
      <c r="O34" s="54">
        <v>36.345999999999997</v>
      </c>
      <c r="P34" s="54">
        <v>77.3</v>
      </c>
      <c r="Q34" s="54">
        <v>128</v>
      </c>
      <c r="R34" s="54">
        <v>133</v>
      </c>
      <c r="S34" s="54">
        <v>225.2</v>
      </c>
      <c r="T34" s="54">
        <v>227.9</v>
      </c>
    </row>
    <row r="35" spans="1:20" ht="15" customHeight="1" x14ac:dyDescent="0.2">
      <c r="A35" s="18" t="s">
        <v>1</v>
      </c>
      <c r="B35" s="19"/>
      <c r="C35" s="19">
        <f>(C34/B34-1)</f>
        <v>0.12625698324022339</v>
      </c>
      <c r="D35" s="19">
        <f>(D34/C34-1)</f>
        <v>5.7539682539682557E-2</v>
      </c>
      <c r="E35" s="19">
        <f>(E34/D34-1)</f>
        <v>0.71826141338336469</v>
      </c>
      <c r="F35" s="19">
        <f>(F34/E34-1)</f>
        <v>0.16323930846223833</v>
      </c>
      <c r="G35" s="19">
        <f>G34/F34-1</f>
        <v>-0.54771589486858574</v>
      </c>
      <c r="H35" s="19">
        <f>H34/G34-1</f>
        <v>0.3542026980283639</v>
      </c>
      <c r="I35" s="19" t="s">
        <v>120</v>
      </c>
      <c r="L35" s="6" t="s">
        <v>93</v>
      </c>
      <c r="M35" s="54">
        <v>318.25099999999998</v>
      </c>
      <c r="N35" s="54">
        <v>323.673</v>
      </c>
      <c r="O35" s="54">
        <v>296.91899999999998</v>
      </c>
      <c r="P35" s="54">
        <v>332</v>
      </c>
      <c r="Q35" s="54">
        <v>238.5</v>
      </c>
      <c r="R35" s="54">
        <v>364.7</v>
      </c>
      <c r="S35" s="54">
        <v>471.6</v>
      </c>
      <c r="T35" s="54">
        <v>950</v>
      </c>
    </row>
    <row r="36" spans="1:20" ht="15" customHeight="1" x14ac:dyDescent="0.2">
      <c r="A36" s="18" t="s">
        <v>108</v>
      </c>
      <c r="B36" s="19"/>
      <c r="C36" s="19"/>
      <c r="D36" s="19"/>
      <c r="E36" s="19">
        <f>((E34/B34)-1)^(1/3)</f>
        <v>1.0152835351520628</v>
      </c>
      <c r="F36" s="19">
        <f>((F34/C34)-1)^(1/3)</f>
        <v>1.0365655362981703</v>
      </c>
      <c r="G36" s="19">
        <f>((G34/D34)-1)^(1/3)</f>
        <v>-0.45788171979881287</v>
      </c>
      <c r="H36" s="19">
        <f>((H34/E34)-1)^(1/3)</f>
        <v>-0.66002917067964739</v>
      </c>
      <c r="I36" s="19" t="s">
        <v>120</v>
      </c>
      <c r="L36" s="4" t="s">
        <v>78</v>
      </c>
      <c r="M36" s="36">
        <f t="shared" ref="M36:Q36" si="20">M37+M38+M39+M40+M41+M42+M8</f>
        <v>2730.8519999999999</v>
      </c>
      <c r="N36" s="36">
        <f t="shared" si="20"/>
        <v>2586.1329999999998</v>
      </c>
      <c r="O36" s="36">
        <f t="shared" si="20"/>
        <v>2291.7700000000004</v>
      </c>
      <c r="P36" s="36">
        <f t="shared" si="20"/>
        <v>3211.7999999999997</v>
      </c>
      <c r="Q36" s="36">
        <f t="shared" si="20"/>
        <v>5437</v>
      </c>
      <c r="R36" s="36">
        <f>R37+R38+R39+R40+R41+R42+R8</f>
        <v>5243</v>
      </c>
      <c r="S36" s="36">
        <f>S37+S38+S39+S40+S41+S42+S8</f>
        <v>6332.3</v>
      </c>
      <c r="T36" s="36">
        <f>T37+T38+T39+T40+T41+T42+T8</f>
        <v>8618.2999999999993</v>
      </c>
    </row>
    <row r="37" spans="1:20" ht="15" customHeight="1" x14ac:dyDescent="0.2">
      <c r="L37" s="6" t="s">
        <v>98</v>
      </c>
      <c r="M37" s="54">
        <v>0</v>
      </c>
      <c r="N37" s="8">
        <v>99.965999999999994</v>
      </c>
      <c r="O37" s="58">
        <v>115.70099999999999</v>
      </c>
      <c r="P37" s="58">
        <v>131.5</v>
      </c>
      <c r="Q37" s="58">
        <v>182.7</v>
      </c>
      <c r="R37" s="58">
        <v>364.6</v>
      </c>
      <c r="S37" s="58">
        <v>493.3</v>
      </c>
      <c r="T37" s="58">
        <v>474.9</v>
      </c>
    </row>
    <row r="38" spans="1:20" ht="15" customHeight="1" x14ac:dyDescent="0.2">
      <c r="L38" s="6" t="s">
        <v>99</v>
      </c>
      <c r="M38" s="54">
        <f>23.09+1322.4</f>
        <v>1345.49</v>
      </c>
      <c r="N38" s="8">
        <v>1673.6</v>
      </c>
      <c r="O38" s="54">
        <v>1387.16</v>
      </c>
      <c r="P38" s="54">
        <v>1386.4</v>
      </c>
      <c r="Q38" s="54">
        <v>1939.9</v>
      </c>
      <c r="R38" s="54">
        <f>342.8+1072</f>
        <v>1414.8</v>
      </c>
      <c r="S38" s="54">
        <v>1217.7</v>
      </c>
      <c r="T38" s="54">
        <v>1403.2</v>
      </c>
    </row>
    <row r="39" spans="1:20" ht="15" customHeight="1" x14ac:dyDescent="0.2">
      <c r="A39" s="64" t="s">
        <v>13</v>
      </c>
      <c r="B39" s="65"/>
      <c r="C39" s="65"/>
      <c r="D39" s="65"/>
      <c r="E39" s="65"/>
      <c r="F39" s="65"/>
      <c r="G39" s="65"/>
      <c r="H39" s="65"/>
      <c r="I39" s="65"/>
      <c r="L39" s="6" t="s">
        <v>68</v>
      </c>
      <c r="M39" s="54">
        <v>985.43600000000004</v>
      </c>
      <c r="N39" s="8">
        <v>543.77800000000002</v>
      </c>
      <c r="O39" s="54">
        <v>427.38299999999998</v>
      </c>
      <c r="P39" s="54">
        <v>201</v>
      </c>
      <c r="Q39" s="54">
        <v>182.2</v>
      </c>
      <c r="R39" s="54">
        <v>149.19999999999999</v>
      </c>
      <c r="S39" s="54">
        <v>164.7</v>
      </c>
      <c r="T39" s="54">
        <v>210.7</v>
      </c>
    </row>
    <row r="40" spans="1:20" ht="15" customHeight="1" x14ac:dyDescent="0.2">
      <c r="A40" s="3" t="s">
        <v>0</v>
      </c>
      <c r="B40" s="10" t="s">
        <v>64</v>
      </c>
      <c r="C40" s="10" t="s">
        <v>69</v>
      </c>
      <c r="D40" s="10" t="s">
        <v>70</v>
      </c>
      <c r="E40" s="10" t="s">
        <v>83</v>
      </c>
      <c r="F40" s="10" t="s">
        <v>84</v>
      </c>
      <c r="G40" s="10" t="s">
        <v>116</v>
      </c>
      <c r="H40" s="10" t="s">
        <v>117</v>
      </c>
      <c r="I40" s="10" t="s">
        <v>118</v>
      </c>
      <c r="L40" s="6" t="s">
        <v>101</v>
      </c>
      <c r="M40" s="54">
        <v>70.134</v>
      </c>
      <c r="N40" s="8">
        <v>91.715999999999994</v>
      </c>
      <c r="O40" s="54">
        <v>115.718</v>
      </c>
      <c r="P40" s="54">
        <v>707.6</v>
      </c>
      <c r="Q40" s="54">
        <v>933.3</v>
      </c>
      <c r="R40" s="54">
        <v>1048.8</v>
      </c>
      <c r="S40" s="54">
        <v>1477.3</v>
      </c>
      <c r="T40" s="54">
        <v>1168.2</v>
      </c>
    </row>
    <row r="41" spans="1:20" ht="15" customHeight="1" x14ac:dyDescent="0.2">
      <c r="A41" s="9" t="s">
        <v>14</v>
      </c>
      <c r="B41" s="36">
        <v>15.22</v>
      </c>
      <c r="C41" s="36">
        <v>326.60000000000002</v>
      </c>
      <c r="D41" s="36">
        <v>13.4</v>
      </c>
      <c r="E41" s="36">
        <v>4.4000000000000004</v>
      </c>
      <c r="F41" s="36">
        <v>4.2</v>
      </c>
      <c r="G41" s="36">
        <v>17.100000000000001</v>
      </c>
      <c r="H41" s="36">
        <v>14.8</v>
      </c>
      <c r="I41" s="36">
        <f>H46</f>
        <v>9.8000000000000576</v>
      </c>
      <c r="L41" s="6" t="s">
        <v>100</v>
      </c>
      <c r="M41" s="54">
        <v>0</v>
      </c>
      <c r="N41" s="8">
        <v>0</v>
      </c>
      <c r="O41" s="54">
        <v>6.1760000000000002</v>
      </c>
      <c r="P41" s="54">
        <v>117.7</v>
      </c>
      <c r="Q41" s="54">
        <v>103.7</v>
      </c>
      <c r="R41" s="54">
        <v>0</v>
      </c>
      <c r="S41" s="54">
        <v>0.6</v>
      </c>
      <c r="T41" s="54">
        <v>1.2</v>
      </c>
    </row>
    <row r="42" spans="1:20" ht="15" customHeight="1" x14ac:dyDescent="0.2">
      <c r="A42" s="6" t="s">
        <v>15</v>
      </c>
      <c r="B42" s="54">
        <v>1255.049</v>
      </c>
      <c r="C42" s="54">
        <v>365.54</v>
      </c>
      <c r="D42" s="54">
        <v>1121.0909999999999</v>
      </c>
      <c r="E42" s="54">
        <v>705.5</v>
      </c>
      <c r="F42" s="54">
        <v>-52.9</v>
      </c>
      <c r="G42" s="54">
        <v>814.6</v>
      </c>
      <c r="H42" s="54">
        <v>728.1</v>
      </c>
      <c r="I42" s="54">
        <v>-1846.7</v>
      </c>
      <c r="L42" s="6" t="s">
        <v>97</v>
      </c>
      <c r="M42" s="54">
        <v>12.391999999999999</v>
      </c>
      <c r="N42" s="8">
        <v>22.573</v>
      </c>
      <c r="O42" s="54">
        <v>8.8320000000000007</v>
      </c>
      <c r="P42" s="54">
        <v>66.599999999999994</v>
      </c>
      <c r="Q42" s="54">
        <v>102.3</v>
      </c>
      <c r="R42" s="54">
        <v>95.7</v>
      </c>
      <c r="S42" s="54">
        <v>109.4</v>
      </c>
      <c r="T42" s="54">
        <v>296.7</v>
      </c>
    </row>
    <row r="43" spans="1:20" ht="15" customHeight="1" x14ac:dyDescent="0.2">
      <c r="A43" s="6" t="s">
        <v>53</v>
      </c>
      <c r="B43" s="54">
        <v>95.516000000000005</v>
      </c>
      <c r="C43" s="54">
        <v>-303.44499999999999</v>
      </c>
      <c r="D43" s="54">
        <v>-821.99900000000002</v>
      </c>
      <c r="E43" s="54">
        <v>-481.9</v>
      </c>
      <c r="F43" s="54">
        <v>-463.4</v>
      </c>
      <c r="G43" s="54">
        <v>35.299999999999997</v>
      </c>
      <c r="H43" s="54">
        <v>-285.39999999999998</v>
      </c>
      <c r="I43" s="54">
        <v>60</v>
      </c>
      <c r="J43" s="2"/>
      <c r="K43" s="2"/>
      <c r="L43" s="4" t="s">
        <v>79</v>
      </c>
      <c r="M43" s="36">
        <f t="shared" ref="M43:S43" si="21">M44+M45+M46+M47+M7</f>
        <v>315.27</v>
      </c>
      <c r="N43" s="36">
        <f t="shared" si="21"/>
        <v>1066.579</v>
      </c>
      <c r="O43" s="36">
        <f t="shared" si="21"/>
        <v>1033.345</v>
      </c>
      <c r="P43" s="36">
        <f t="shared" si="21"/>
        <v>1080.8</v>
      </c>
      <c r="Q43" s="36">
        <f t="shared" si="21"/>
        <v>1763.1999999999998</v>
      </c>
      <c r="R43" s="36">
        <f t="shared" si="21"/>
        <v>1969.7</v>
      </c>
      <c r="S43" s="36">
        <f t="shared" si="21"/>
        <v>2482.4</v>
      </c>
      <c r="T43" s="36">
        <f>T44+T45+T46+T47+T7</f>
        <v>2576.3000000000002</v>
      </c>
    </row>
    <row r="44" spans="1:20" ht="15" customHeight="1" x14ac:dyDescent="0.2">
      <c r="A44" s="6" t="s">
        <v>16</v>
      </c>
      <c r="B44" s="54">
        <v>-1039.2339999999999</v>
      </c>
      <c r="C44" s="54">
        <v>-375.20600000000002</v>
      </c>
      <c r="D44" s="54">
        <v>-308.089</v>
      </c>
      <c r="E44" s="54">
        <v>-223.8</v>
      </c>
      <c r="F44" s="54">
        <v>529.20000000000005</v>
      </c>
      <c r="G44" s="54">
        <v>-852.2</v>
      </c>
      <c r="H44" s="54">
        <v>-447.7</v>
      </c>
      <c r="I44" s="54">
        <v>1814.5</v>
      </c>
      <c r="J44" s="2"/>
      <c r="K44" s="2"/>
      <c r="L44" s="6" t="s">
        <v>94</v>
      </c>
      <c r="M44" s="54">
        <v>0</v>
      </c>
      <c r="N44" s="54">
        <v>703.89</v>
      </c>
      <c r="O44" s="54">
        <v>719.53200000000004</v>
      </c>
      <c r="P44" s="54">
        <v>741.3</v>
      </c>
      <c r="Q44" s="54">
        <v>1111.8</v>
      </c>
      <c r="R44" s="54">
        <v>1285.2</v>
      </c>
      <c r="S44" s="54">
        <v>1781.5</v>
      </c>
      <c r="T44" s="54">
        <v>1889.8</v>
      </c>
    </row>
    <row r="45" spans="1:20" ht="15" customHeight="1" x14ac:dyDescent="0.2">
      <c r="A45" s="9" t="s">
        <v>17</v>
      </c>
      <c r="B45" s="36">
        <f t="shared" ref="B45:D45" si="22">B42+B43+B44</f>
        <v>311.33100000000013</v>
      </c>
      <c r="C45" s="36">
        <f t="shared" si="22"/>
        <v>-313.11099999999999</v>
      </c>
      <c r="D45" s="36">
        <f t="shared" si="22"/>
        <v>-8.9970000000001278</v>
      </c>
      <c r="E45" s="36">
        <f>E42+E43+E44</f>
        <v>-0.19999999999998863</v>
      </c>
      <c r="F45" s="36">
        <f>F42+F43+F44</f>
        <v>12.900000000000091</v>
      </c>
      <c r="G45" s="36">
        <f>G42+G43+G44</f>
        <v>-2.3000000000000682</v>
      </c>
      <c r="H45" s="36">
        <f>H42+H43+H44</f>
        <v>-4.9999999999999432</v>
      </c>
      <c r="I45" s="36">
        <f>I42+I43+I44</f>
        <v>27.799999999999955</v>
      </c>
      <c r="J45" s="2"/>
      <c r="K45" s="2"/>
      <c r="L45" s="6" t="s">
        <v>95</v>
      </c>
      <c r="M45" s="54">
        <v>153.25700000000001</v>
      </c>
      <c r="N45" s="54">
        <v>168.54900000000001</v>
      </c>
      <c r="O45" s="54">
        <v>186.18600000000001</v>
      </c>
      <c r="P45" s="54">
        <v>229.5</v>
      </c>
      <c r="Q45" s="54">
        <v>307.89999999999998</v>
      </c>
      <c r="R45" s="54">
        <v>384</v>
      </c>
      <c r="S45" s="54">
        <v>436.3</v>
      </c>
      <c r="T45" s="54">
        <v>459.7</v>
      </c>
    </row>
    <row r="46" spans="1:20" ht="15" customHeight="1" x14ac:dyDescent="0.2">
      <c r="A46" s="9" t="s">
        <v>48</v>
      </c>
      <c r="B46" s="36">
        <f t="shared" ref="B46:G46" si="23">+B41+B45</f>
        <v>326.55100000000016</v>
      </c>
      <c r="C46" s="36">
        <f t="shared" si="23"/>
        <v>13.489000000000033</v>
      </c>
      <c r="D46" s="36">
        <f t="shared" si="23"/>
        <v>4.4029999999998726</v>
      </c>
      <c r="E46" s="36">
        <f t="shared" si="23"/>
        <v>4.2000000000000117</v>
      </c>
      <c r="F46" s="36">
        <f t="shared" si="23"/>
        <v>17.10000000000009</v>
      </c>
      <c r="G46" s="36">
        <f t="shared" si="23"/>
        <v>14.799999999999933</v>
      </c>
      <c r="H46" s="36">
        <f>+H41+H45</f>
        <v>9.8000000000000576</v>
      </c>
      <c r="I46" s="36">
        <f>+I41+I45</f>
        <v>37.600000000000009</v>
      </c>
      <c r="J46" s="2"/>
      <c r="K46" s="2"/>
      <c r="L46" s="6" t="s">
        <v>96</v>
      </c>
      <c r="M46" s="8">
        <v>13.106999999999999</v>
      </c>
      <c r="N46" s="8">
        <v>11.715</v>
      </c>
      <c r="O46" s="8">
        <v>10.327</v>
      </c>
      <c r="P46" s="8">
        <v>26.7</v>
      </c>
      <c r="Q46" s="8">
        <v>307.60000000000002</v>
      </c>
      <c r="R46" s="8">
        <v>288.3</v>
      </c>
      <c r="S46" s="8">
        <v>250.9</v>
      </c>
      <c r="T46" s="8">
        <v>208.5</v>
      </c>
    </row>
    <row r="47" spans="1:20" ht="15" customHeight="1" x14ac:dyDescent="0.2">
      <c r="I47" s="54"/>
      <c r="L47" s="6" t="s">
        <v>97</v>
      </c>
      <c r="M47" s="8">
        <v>20.306000000000001</v>
      </c>
      <c r="N47" s="8">
        <v>19.324999999999999</v>
      </c>
      <c r="O47" s="8">
        <v>0</v>
      </c>
      <c r="P47" s="8">
        <v>0</v>
      </c>
      <c r="Q47" s="8">
        <v>8.9</v>
      </c>
      <c r="R47" s="8">
        <v>12.2</v>
      </c>
      <c r="S47" s="8">
        <v>13.7</v>
      </c>
      <c r="T47" s="8">
        <v>18.3</v>
      </c>
    </row>
    <row r="48" spans="1:20" ht="15" customHeight="1" x14ac:dyDescent="0.2">
      <c r="A48" s="3" t="s">
        <v>18</v>
      </c>
      <c r="B48" s="10" t="s">
        <v>64</v>
      </c>
      <c r="C48" s="10" t="s">
        <v>69</v>
      </c>
      <c r="D48" s="10" t="s">
        <v>70</v>
      </c>
      <c r="E48" s="10" t="s">
        <v>83</v>
      </c>
      <c r="F48" s="10" t="s">
        <v>84</v>
      </c>
      <c r="G48" s="10" t="s">
        <v>116</v>
      </c>
      <c r="H48" s="10" t="s">
        <v>117</v>
      </c>
      <c r="I48" s="10" t="s">
        <v>118</v>
      </c>
      <c r="L48" s="4" t="s">
        <v>115</v>
      </c>
      <c r="M48" s="36">
        <f t="shared" ref="M48:P48" si="24">(M26-M36)</f>
        <v>2962.0290000000014</v>
      </c>
      <c r="N48" s="36">
        <f t="shared" si="24"/>
        <v>3547.277000000001</v>
      </c>
      <c r="O48" s="36">
        <f t="shared" si="24"/>
        <v>4500.6909999999989</v>
      </c>
      <c r="P48" s="36">
        <f t="shared" si="24"/>
        <v>4802.6000000000004</v>
      </c>
      <c r="Q48" s="36">
        <f>(Q26-Q36)</f>
        <v>5189.6000000000004</v>
      </c>
      <c r="R48" s="36">
        <f>(R26-R36)</f>
        <v>4597.1000000000004</v>
      </c>
      <c r="S48" s="36">
        <f>(S26-S36)</f>
        <v>5296.7</v>
      </c>
      <c r="T48" s="36">
        <f>(T26-T36)</f>
        <v>5258.7999999999993</v>
      </c>
    </row>
    <row r="49" spans="1:21" ht="15" customHeight="1" x14ac:dyDescent="0.2">
      <c r="A49" s="4" t="s">
        <v>19</v>
      </c>
      <c r="B49" s="36">
        <f t="shared" ref="B49:D49" si="25">B42</f>
        <v>1255.049</v>
      </c>
      <c r="C49" s="36">
        <f t="shared" si="25"/>
        <v>365.54</v>
      </c>
      <c r="D49" s="36">
        <f t="shared" si="25"/>
        <v>1121.0909999999999</v>
      </c>
      <c r="E49" s="36">
        <f>E42</f>
        <v>705.5</v>
      </c>
      <c r="F49" s="36">
        <f t="shared" ref="F49" si="26">F42</f>
        <v>-52.9</v>
      </c>
      <c r="G49" s="36">
        <f>G42</f>
        <v>814.6</v>
      </c>
      <c r="H49" s="36">
        <f>H42</f>
        <v>728.1</v>
      </c>
      <c r="I49" s="36">
        <f>I42</f>
        <v>-1846.7</v>
      </c>
      <c r="L49" s="4" t="s">
        <v>56</v>
      </c>
      <c r="M49" s="36">
        <f t="shared" ref="M49:Q49" si="27">M14+M26</f>
        <v>7883.3940000000011</v>
      </c>
      <c r="N49" s="36">
        <f t="shared" si="27"/>
        <v>9104.3140000000003</v>
      </c>
      <c r="O49" s="36">
        <f t="shared" si="27"/>
        <v>9365.8889999999992</v>
      </c>
      <c r="P49" s="36">
        <f t="shared" si="27"/>
        <v>11165.2</v>
      </c>
      <c r="Q49" s="36">
        <f t="shared" si="27"/>
        <v>14964.2</v>
      </c>
      <c r="R49" s="36">
        <f>R14+R26</f>
        <v>15160.7</v>
      </c>
      <c r="S49" s="36">
        <f>S14+S26</f>
        <v>17155.099999999999</v>
      </c>
      <c r="T49" s="36">
        <f>T14+T26</f>
        <v>19534.599999999999</v>
      </c>
    </row>
    <row r="50" spans="1:21" ht="15" customHeight="1" x14ac:dyDescent="0.2">
      <c r="A50" s="6" t="s">
        <v>20</v>
      </c>
      <c r="B50" s="54">
        <f>-117.1+3.5</f>
        <v>-113.6</v>
      </c>
      <c r="C50" s="54">
        <v>-272.50799999999998</v>
      </c>
      <c r="D50" s="54">
        <v>-171</v>
      </c>
      <c r="E50" s="54">
        <f>-250.8+4.2</f>
        <v>-246.60000000000002</v>
      </c>
      <c r="F50" s="54">
        <f>-533+3.3</f>
        <v>-529.70000000000005</v>
      </c>
      <c r="G50" s="54">
        <v>-338.2</v>
      </c>
      <c r="H50" s="59">
        <v>-336.1</v>
      </c>
      <c r="I50" s="59">
        <f>-78.9+1.3</f>
        <v>-77.600000000000009</v>
      </c>
      <c r="L50" s="4" t="s">
        <v>57</v>
      </c>
      <c r="M50" s="36">
        <f t="shared" ref="M50:S50" si="28">M6+M36+M43</f>
        <v>7883.3379999999997</v>
      </c>
      <c r="N50" s="36">
        <f t="shared" si="28"/>
        <v>9104.4480000000003</v>
      </c>
      <c r="O50" s="36">
        <f t="shared" si="28"/>
        <v>9366.0159999999996</v>
      </c>
      <c r="P50" s="36">
        <f t="shared" si="28"/>
        <v>11165.199999999999</v>
      </c>
      <c r="Q50" s="36">
        <f t="shared" si="28"/>
        <v>14964.2</v>
      </c>
      <c r="R50" s="36">
        <f t="shared" si="28"/>
        <v>15160.7</v>
      </c>
      <c r="S50" s="36">
        <f t="shared" si="28"/>
        <v>17155.100000000002</v>
      </c>
      <c r="T50" s="36">
        <f>T6+T36+T43</f>
        <v>19534.599999999999</v>
      </c>
    </row>
    <row r="51" spans="1:21" ht="15" customHeight="1" x14ac:dyDescent="0.2">
      <c r="A51" s="4" t="s">
        <v>21</v>
      </c>
      <c r="B51" s="36">
        <f t="shared" ref="B51:C51" si="29">SUM(B49:B50)</f>
        <v>1141.4490000000001</v>
      </c>
      <c r="C51" s="36">
        <f t="shared" si="29"/>
        <v>93.032000000000039</v>
      </c>
      <c r="D51" s="36">
        <f t="shared" ref="D51:I51" si="30">SUM(D49:D50)</f>
        <v>950.09099999999989</v>
      </c>
      <c r="E51" s="36">
        <f t="shared" si="30"/>
        <v>458.9</v>
      </c>
      <c r="F51" s="36">
        <f t="shared" si="30"/>
        <v>-582.6</v>
      </c>
      <c r="G51" s="36">
        <f t="shared" si="30"/>
        <v>476.40000000000003</v>
      </c>
      <c r="H51" s="36">
        <f t="shared" si="30"/>
        <v>392</v>
      </c>
      <c r="I51" s="36">
        <f t="shared" si="30"/>
        <v>-1924.3</v>
      </c>
      <c r="L51" s="9" t="s">
        <v>29</v>
      </c>
      <c r="M51" s="8"/>
      <c r="N51" s="8"/>
      <c r="O51" s="8"/>
      <c r="P51" s="8"/>
      <c r="Q51" s="8"/>
      <c r="R51" s="8"/>
    </row>
    <row r="52" spans="1:21" ht="15" customHeight="1" x14ac:dyDescent="0.3">
      <c r="A52" s="1" t="s">
        <v>22</v>
      </c>
      <c r="I52"/>
      <c r="L52" s="3" t="s">
        <v>30</v>
      </c>
      <c r="M52" s="52" t="s">
        <v>64</v>
      </c>
      <c r="N52" s="53" t="s">
        <v>69</v>
      </c>
      <c r="O52" s="53" t="s">
        <v>70</v>
      </c>
      <c r="P52" s="52" t="s">
        <v>83</v>
      </c>
      <c r="Q52" s="52" t="s">
        <v>84</v>
      </c>
      <c r="R52" s="52" t="s">
        <v>116</v>
      </c>
      <c r="S52" s="52" t="s">
        <v>117</v>
      </c>
      <c r="T52" s="52" t="s">
        <v>121</v>
      </c>
    </row>
    <row r="53" spans="1:21" ht="15" customHeight="1" x14ac:dyDescent="0.3">
      <c r="I53"/>
      <c r="L53" s="11" t="s">
        <v>71</v>
      </c>
      <c r="M53" s="36">
        <v>364.65</v>
      </c>
      <c r="N53" s="40">
        <v>134.55000000000001</v>
      </c>
      <c r="O53" s="40">
        <v>225.25</v>
      </c>
      <c r="P53" s="40">
        <v>550.29999999999995</v>
      </c>
      <c r="Q53" s="40">
        <v>623.1</v>
      </c>
      <c r="R53" s="49">
        <v>621</v>
      </c>
      <c r="S53" s="49">
        <v>526.5</v>
      </c>
      <c r="T53" s="49">
        <v>639.20000000000005</v>
      </c>
    </row>
    <row r="54" spans="1:21" ht="15" customHeight="1" x14ac:dyDescent="0.2">
      <c r="A54" s="3" t="s">
        <v>18</v>
      </c>
      <c r="B54" s="10" t="s">
        <v>64</v>
      </c>
      <c r="C54" s="10" t="s">
        <v>69</v>
      </c>
      <c r="D54" s="10" t="s">
        <v>70</v>
      </c>
      <c r="E54" s="10" t="s">
        <v>83</v>
      </c>
      <c r="F54" s="10" t="s">
        <v>84</v>
      </c>
      <c r="G54" s="10" t="s">
        <v>116</v>
      </c>
      <c r="H54" s="10" t="s">
        <v>117</v>
      </c>
      <c r="I54" s="10" t="s">
        <v>118</v>
      </c>
      <c r="L54" s="11" t="s">
        <v>31</v>
      </c>
      <c r="M54" s="40">
        <f t="shared" ref="M54:R54" si="31">B34</f>
        <v>26.85</v>
      </c>
      <c r="N54" s="40">
        <f t="shared" si="31"/>
        <v>30.24</v>
      </c>
      <c r="O54" s="40">
        <f t="shared" si="31"/>
        <v>31.98</v>
      </c>
      <c r="P54" s="40">
        <f t="shared" si="31"/>
        <v>54.95</v>
      </c>
      <c r="Q54" s="40">
        <f t="shared" si="31"/>
        <v>63.92</v>
      </c>
      <c r="R54" s="49">
        <f t="shared" si="31"/>
        <v>28.91</v>
      </c>
      <c r="S54" s="49">
        <f>H34</f>
        <v>39.15</v>
      </c>
      <c r="T54" s="49">
        <f>S54+I34-44.14</f>
        <v>46.64</v>
      </c>
      <c r="U54" s="1" t="s">
        <v>122</v>
      </c>
    </row>
    <row r="55" spans="1:21" ht="15" customHeight="1" x14ac:dyDescent="0.2">
      <c r="A55" s="9" t="s">
        <v>49</v>
      </c>
      <c r="B55" s="8">
        <v>21732064</v>
      </c>
      <c r="C55" s="8">
        <v>20732064</v>
      </c>
      <c r="D55" s="8">
        <v>20732064</v>
      </c>
      <c r="E55" s="8">
        <v>20732064</v>
      </c>
      <c r="F55" s="8">
        <v>20732064</v>
      </c>
      <c r="G55" s="8">
        <v>20732064</v>
      </c>
      <c r="H55" s="8">
        <v>20732064</v>
      </c>
      <c r="I55" s="8">
        <v>20732064</v>
      </c>
      <c r="L55" s="11" t="s">
        <v>32</v>
      </c>
      <c r="M55" s="40">
        <f>(M6*1000000)/B55</f>
        <v>222.58428835843665</v>
      </c>
      <c r="N55" s="40">
        <f>(N6*1000000)/B55</f>
        <v>250.86140000323945</v>
      </c>
      <c r="O55" s="40">
        <f t="shared" ref="O55:T55" si="32">(O6*1000000)/D55</f>
        <v>291.37962336986806</v>
      </c>
      <c r="P55" s="40">
        <f t="shared" si="32"/>
        <v>331.49617905867933</v>
      </c>
      <c r="Q55" s="40">
        <f t="shared" si="32"/>
        <v>374.49238049815011</v>
      </c>
      <c r="R55" s="49">
        <f t="shared" si="32"/>
        <v>383.36752192159929</v>
      </c>
      <c r="S55" s="49">
        <f t="shared" si="32"/>
        <v>402.29472569638989</v>
      </c>
      <c r="T55" s="49">
        <f t="shared" si="32"/>
        <v>402.27543191068673</v>
      </c>
    </row>
    <row r="56" spans="1:21" ht="15" customHeight="1" x14ac:dyDescent="0.2">
      <c r="A56" s="9" t="s">
        <v>107</v>
      </c>
      <c r="B56" s="36">
        <f t="shared" ref="B56:H56" si="33">B55*M53/1000000</f>
        <v>7924.5971375999998</v>
      </c>
      <c r="C56" s="36">
        <f t="shared" si="33"/>
        <v>2789.4992112000004</v>
      </c>
      <c r="D56" s="36">
        <f t="shared" si="33"/>
        <v>4669.8974159999998</v>
      </c>
      <c r="E56" s="36">
        <f t="shared" si="33"/>
        <v>11408.854819199998</v>
      </c>
      <c r="F56" s="36">
        <f t="shared" si="33"/>
        <v>12918.1490784</v>
      </c>
      <c r="G56" s="36">
        <f t="shared" si="33"/>
        <v>12874.611744</v>
      </c>
      <c r="H56" s="36">
        <f t="shared" si="33"/>
        <v>10915.431696</v>
      </c>
      <c r="I56" s="36">
        <f>I55*T53/1000000</f>
        <v>13251.935308800001</v>
      </c>
      <c r="L56" s="11" t="s">
        <v>33</v>
      </c>
      <c r="M56" s="43">
        <v>0</v>
      </c>
      <c r="N56" s="43">
        <v>5</v>
      </c>
      <c r="O56" s="43">
        <v>15</v>
      </c>
      <c r="P56" s="43">
        <v>20</v>
      </c>
      <c r="Q56" s="43">
        <v>0</v>
      </c>
      <c r="R56" s="48">
        <v>20</v>
      </c>
      <c r="S56" s="48">
        <v>20</v>
      </c>
      <c r="T56" s="48" t="s">
        <v>120</v>
      </c>
    </row>
    <row r="57" spans="1:21" ht="15" customHeight="1" x14ac:dyDescent="0.3">
      <c r="A57" s="9" t="s">
        <v>52</v>
      </c>
      <c r="B57" s="42">
        <f t="shared" ref="B57:F57" si="34">M9</f>
        <v>446</v>
      </c>
      <c r="C57" s="42">
        <f t="shared" si="34"/>
        <v>317.60000000000002</v>
      </c>
      <c r="D57" s="42">
        <f t="shared" si="34"/>
        <v>348.1</v>
      </c>
      <c r="E57" s="42">
        <f t="shared" si="34"/>
        <v>684.3</v>
      </c>
      <c r="F57" s="42">
        <f t="shared" si="34"/>
        <v>2019.9</v>
      </c>
      <c r="G57" s="42">
        <f>R9</f>
        <v>2169.9</v>
      </c>
      <c r="H57" s="42">
        <f>S9</f>
        <v>2869.3</v>
      </c>
      <c r="I57" s="42">
        <f>T9</f>
        <v>5063.3999999999996</v>
      </c>
      <c r="L57" s="21" t="s">
        <v>34</v>
      </c>
      <c r="M57" s="43">
        <f t="shared" ref="M57:Q57" si="35">(M53/M54)</f>
        <v>13.581005586592177</v>
      </c>
      <c r="N57" s="43">
        <f t="shared" si="35"/>
        <v>4.4494047619047628</v>
      </c>
      <c r="O57" s="43">
        <f t="shared" si="35"/>
        <v>7.0434646654158852</v>
      </c>
      <c r="P57" s="43">
        <f t="shared" si="35"/>
        <v>10.014558689717925</v>
      </c>
      <c r="Q57" s="43">
        <f t="shared" si="35"/>
        <v>9.7481226533166456</v>
      </c>
      <c r="R57" s="48">
        <f>(R53/R54)</f>
        <v>21.480456589415429</v>
      </c>
      <c r="S57" s="48">
        <f>(S53/S54)</f>
        <v>13.448275862068966</v>
      </c>
      <c r="T57" s="48">
        <f>(T53/T54)</f>
        <v>13.704974271012007</v>
      </c>
    </row>
    <row r="58" spans="1:21" ht="15" customHeight="1" x14ac:dyDescent="0.2">
      <c r="A58" s="9" t="s">
        <v>50</v>
      </c>
      <c r="B58" s="42">
        <f t="shared" ref="B58:G58" si="36">M31+M32</f>
        <v>349.09</v>
      </c>
      <c r="C58" s="42">
        <f t="shared" si="36"/>
        <v>127.672</v>
      </c>
      <c r="D58" s="42">
        <f t="shared" si="36"/>
        <v>408.548</v>
      </c>
      <c r="E58" s="42">
        <f t="shared" si="36"/>
        <v>480.2</v>
      </c>
      <c r="F58" s="42">
        <f>Q31+Q32</f>
        <v>146.9</v>
      </c>
      <c r="G58" s="42">
        <f t="shared" si="36"/>
        <v>82</v>
      </c>
      <c r="H58" s="42">
        <f>S31+S32</f>
        <v>354.7</v>
      </c>
      <c r="I58" s="42">
        <f>T31+T32</f>
        <v>384.5</v>
      </c>
      <c r="L58" s="11" t="s">
        <v>35</v>
      </c>
      <c r="M58" s="43">
        <f>(M53/M55)</f>
        <v>1.6382557937458238</v>
      </c>
      <c r="N58" s="43">
        <f t="shared" ref="N58:Q58" si="37">(N53/N55)</f>
        <v>0.53635194572884681</v>
      </c>
      <c r="O58" s="43">
        <f>(O53/O55)</f>
        <v>0.77304650680420017</v>
      </c>
      <c r="P58" s="43">
        <f t="shared" si="37"/>
        <v>1.66004930000291</v>
      </c>
      <c r="Q58" s="43">
        <f t="shared" si="37"/>
        <v>1.6638522769706336</v>
      </c>
      <c r="R58" s="48">
        <f>(R53/R55)</f>
        <v>1.6198555289380978</v>
      </c>
      <c r="S58" s="48">
        <f>(S53/S55)</f>
        <v>1.3087419903122153</v>
      </c>
      <c r="T58" s="48">
        <f>(T53/T55)</f>
        <v>1.588961068201439</v>
      </c>
    </row>
    <row r="59" spans="1:21" ht="15" customHeight="1" x14ac:dyDescent="0.2">
      <c r="A59" s="9" t="s">
        <v>51</v>
      </c>
      <c r="B59" s="36">
        <f t="shared" ref="B59:E59" si="38">B56+B57-B58</f>
        <v>8021.5071375999996</v>
      </c>
      <c r="C59" s="36">
        <f t="shared" si="38"/>
        <v>2979.4272112000003</v>
      </c>
      <c r="D59" s="36">
        <f t="shared" si="38"/>
        <v>4609.4494160000004</v>
      </c>
      <c r="E59" s="36">
        <f t="shared" si="38"/>
        <v>11612.954819199997</v>
      </c>
      <c r="F59" s="36">
        <f>F56+F57-F58</f>
        <v>14791.1490784</v>
      </c>
      <c r="G59" s="36">
        <f>G56+G57-G58</f>
        <v>14962.511743999999</v>
      </c>
      <c r="H59" s="36">
        <f>H56+H57-H58</f>
        <v>13430.031695999998</v>
      </c>
      <c r="I59" s="36">
        <f>I56+I57-I58</f>
        <v>17930.8353088</v>
      </c>
      <c r="L59" s="11" t="s">
        <v>36</v>
      </c>
      <c r="M59" s="43">
        <f>B59/B15</f>
        <v>8.1568289295410867</v>
      </c>
      <c r="N59" s="43">
        <f>C59/C15</f>
        <v>2.3945182405747927</v>
      </c>
      <c r="O59" s="43">
        <f>D59/D15</f>
        <v>3.9886930978713764</v>
      </c>
      <c r="P59" s="43">
        <f>E59/2062</f>
        <v>5.631888855092142</v>
      </c>
      <c r="Q59" s="43">
        <f>F59/2062</f>
        <v>7.1732051786614939</v>
      </c>
      <c r="R59" s="50">
        <f>G59/G15</f>
        <v>10.546635471910898</v>
      </c>
      <c r="S59" s="50">
        <f>H59/H15</f>
        <v>7.2010893812332428</v>
      </c>
      <c r="T59" s="48" t="s">
        <v>120</v>
      </c>
    </row>
    <row r="60" spans="1:21" ht="15" customHeight="1" x14ac:dyDescent="0.3">
      <c r="I60"/>
      <c r="L60" s="12" t="s">
        <v>37</v>
      </c>
      <c r="M60" s="44">
        <f t="shared" ref="M60:S60" si="39">B26/M6</f>
        <v>0.123191521734816</v>
      </c>
      <c r="N60" s="44">
        <f t="shared" si="39"/>
        <v>0.1149998826062013</v>
      </c>
      <c r="O60" s="44">
        <f t="shared" si="39"/>
        <v>0.10974852923429797</v>
      </c>
      <c r="P60" s="44">
        <f t="shared" si="39"/>
        <v>0.16578572883624837</v>
      </c>
      <c r="Q60" s="44">
        <f t="shared" si="39"/>
        <v>0.17068521380731586</v>
      </c>
      <c r="R60" s="44">
        <f t="shared" si="39"/>
        <v>7.5415198792149071E-2</v>
      </c>
      <c r="S60" s="44">
        <f t="shared" si="39"/>
        <v>9.7321471392259357E-2</v>
      </c>
      <c r="T60" s="48" t="s">
        <v>120</v>
      </c>
    </row>
    <row r="61" spans="1:21" ht="15" customHeight="1" x14ac:dyDescent="0.3">
      <c r="I61"/>
      <c r="L61" s="12" t="s">
        <v>38</v>
      </c>
      <c r="M61" s="44">
        <f>(B15-B20)/M10</f>
        <v>0.15379178128771234</v>
      </c>
      <c r="N61" s="44">
        <f>(C15-C20)/N6</f>
        <v>0.16696883341379726</v>
      </c>
      <c r="O61" s="44">
        <f>(D15-D20)/O6</f>
        <v>0.13468619995593373</v>
      </c>
      <c r="P61" s="44">
        <f>(E15-E20)/P6</f>
        <v>0.20802476500887593</v>
      </c>
      <c r="Q61" s="44">
        <f>(F15-F20)/Q6</f>
        <v>0.22646831530139103</v>
      </c>
      <c r="R61" s="44">
        <f>(G23+G21)/R11</f>
        <v>0.11913044355042002</v>
      </c>
      <c r="S61" s="44">
        <f>(H23+H21)/S11</f>
        <v>0.14922201278781833</v>
      </c>
      <c r="T61" s="48" t="s">
        <v>120</v>
      </c>
    </row>
    <row r="62" spans="1:21" ht="15" customHeight="1" x14ac:dyDescent="0.3">
      <c r="I62"/>
      <c r="L62" s="11" t="s">
        <v>39</v>
      </c>
      <c r="M62" s="43">
        <f t="shared" ref="M62:Q62" si="40">(M9/M6)</f>
        <v>9.2201795412898649E-2</v>
      </c>
      <c r="N62" s="43">
        <f t="shared" si="40"/>
        <v>5.8256672736904359E-2</v>
      </c>
      <c r="O62" s="43">
        <f t="shared" si="40"/>
        <v>5.7623854454823882E-2</v>
      </c>
      <c r="P62" s="43">
        <f t="shared" si="40"/>
        <v>9.9569304193463895E-2</v>
      </c>
      <c r="Q62" s="43">
        <f t="shared" si="40"/>
        <v>0.2601622874806801</v>
      </c>
      <c r="R62" s="43">
        <f>(R9/R6)</f>
        <v>0.27301207851031706</v>
      </c>
      <c r="S62" s="43">
        <f>(S9/S6)</f>
        <v>0.34402426742122683</v>
      </c>
      <c r="T62" s="48" t="s">
        <v>120</v>
      </c>
    </row>
    <row r="63" spans="1:21" ht="15" customHeight="1" x14ac:dyDescent="0.3">
      <c r="I63"/>
      <c r="L63" s="11" t="s">
        <v>40</v>
      </c>
      <c r="M63" s="43">
        <f>(M9-M31-M32)/M6</f>
        <v>2.0034251106421548E-2</v>
      </c>
      <c r="N63" s="43">
        <f t="shared" ref="N63:Q63" si="41">(N9-N31)/N6</f>
        <v>5.5790852675184577E-2</v>
      </c>
      <c r="O63" s="43">
        <f t="shared" si="41"/>
        <v>5.6887871527773755E-2</v>
      </c>
      <c r="P63" s="43">
        <f t="shared" si="41"/>
        <v>9.895818176527077E-2</v>
      </c>
      <c r="Q63" s="43">
        <f t="shared" si="41"/>
        <v>0.25795981452859351</v>
      </c>
      <c r="R63" s="43">
        <f>(R9-R31)/R6</f>
        <v>0.27114997483643682</v>
      </c>
      <c r="S63" s="43">
        <f>(S9-S31)/S6</f>
        <v>0.34284926382427705</v>
      </c>
      <c r="T63" s="48" t="s">
        <v>120</v>
      </c>
    </row>
    <row r="64" spans="1:21" ht="15" customHeight="1" x14ac:dyDescent="0.3">
      <c r="I64"/>
      <c r="L64" s="13" t="s">
        <v>41</v>
      </c>
      <c r="M64" s="45">
        <f t="shared" ref="M64:P64" si="42">(M56/M53)</f>
        <v>0</v>
      </c>
      <c r="N64" s="45">
        <f t="shared" si="42"/>
        <v>3.7160906726124113E-2</v>
      </c>
      <c r="O64" s="45">
        <f t="shared" si="42"/>
        <v>6.6592674805771371E-2</v>
      </c>
      <c r="P64" s="45">
        <f t="shared" si="42"/>
        <v>3.6343812465927681E-2</v>
      </c>
      <c r="Q64" s="45">
        <f>(Q56/Q53)</f>
        <v>0</v>
      </c>
      <c r="R64" s="45">
        <f>(R56/R53)</f>
        <v>3.2206119162640899E-2</v>
      </c>
      <c r="S64" s="45">
        <f>(S56/S53)</f>
        <v>3.7986704653371318E-2</v>
      </c>
      <c r="T64" s="48" t="s">
        <v>120</v>
      </c>
    </row>
    <row r="65" spans="1:20" ht="15" customHeight="1" x14ac:dyDescent="0.3">
      <c r="I65"/>
      <c r="L65" s="11" t="s">
        <v>42</v>
      </c>
      <c r="M65" s="46">
        <f t="shared" ref="M65:S65" si="43">(AVERAGE(M30,L30))/(B4)*365</f>
        <v>122.2569327852718</v>
      </c>
      <c r="N65" s="46">
        <f t="shared" si="43"/>
        <v>118.71844909063095</v>
      </c>
      <c r="O65" s="46">
        <f t="shared" si="43"/>
        <v>141.32123277981148</v>
      </c>
      <c r="P65" s="46">
        <f t="shared" si="43"/>
        <v>98.767109779481203</v>
      </c>
      <c r="Q65" s="46">
        <f t="shared" si="43"/>
        <v>104.51407341797066</v>
      </c>
      <c r="R65" s="46">
        <f t="shared" si="43"/>
        <v>128.93978774095734</v>
      </c>
      <c r="S65" s="46">
        <f t="shared" si="43"/>
        <v>130.39907852527696</v>
      </c>
      <c r="T65" s="48" t="s">
        <v>120</v>
      </c>
    </row>
    <row r="66" spans="1:20" ht="15" customHeight="1" x14ac:dyDescent="0.3">
      <c r="A66" s="14"/>
      <c r="B66" s="14"/>
      <c r="C66" s="14"/>
      <c r="D66" s="14"/>
      <c r="E66" s="14"/>
      <c r="F66" s="14"/>
      <c r="G66" s="14"/>
      <c r="H66" s="14"/>
      <c r="I66"/>
      <c r="L66" s="11" t="s">
        <v>43</v>
      </c>
      <c r="M66" s="46">
        <f t="shared" ref="M66:S66" si="44">AVERAGE(L38,M38)/SUM(B8:B10)*365</f>
        <v>142.60024913470696</v>
      </c>
      <c r="N66" s="46">
        <f t="shared" si="44"/>
        <v>143.80859196579814</v>
      </c>
      <c r="O66" s="46">
        <f t="shared" si="44"/>
        <v>168.76377880198254</v>
      </c>
      <c r="P66" s="46">
        <f t="shared" si="44"/>
        <v>104.01313072157323</v>
      </c>
      <c r="Q66" s="46">
        <f t="shared" si="44"/>
        <v>102.39862186461551</v>
      </c>
      <c r="R66" s="46">
        <f t="shared" si="44"/>
        <v>100.35121867265485</v>
      </c>
      <c r="S66" s="46">
        <f t="shared" si="44"/>
        <v>83.841968866706225</v>
      </c>
      <c r="T66" s="48" t="s">
        <v>120</v>
      </c>
    </row>
    <row r="67" spans="1:20" ht="14.4" x14ac:dyDescent="0.3">
      <c r="I67"/>
      <c r="L67" s="9" t="s">
        <v>44</v>
      </c>
      <c r="M67" s="46">
        <f t="shared" ref="M67:R67" si="45">AVERAGE(M27,L27)/SUM(B8:B10)*365</f>
        <v>202.59645113707634</v>
      </c>
      <c r="N67" s="46">
        <f t="shared" si="45"/>
        <v>194.02858964286926</v>
      </c>
      <c r="O67" s="46">
        <f t="shared" si="45"/>
        <v>230.32261619361395</v>
      </c>
      <c r="P67" s="46">
        <f t="shared" si="45"/>
        <v>183.99039135303971</v>
      </c>
      <c r="Q67" s="46">
        <f t="shared" si="45"/>
        <v>230.73014186191656</v>
      </c>
      <c r="R67" s="46">
        <f t="shared" si="45"/>
        <v>267.738858201249</v>
      </c>
      <c r="S67" s="46">
        <f t="shared" ref="S67" si="46">AVERAGE(S27,R27)/SUM(H8:H10)*365</f>
        <v>298.67805661233467</v>
      </c>
      <c r="T67" s="48" t="s">
        <v>120</v>
      </c>
    </row>
    <row r="68" spans="1:20" ht="14.4" x14ac:dyDescent="0.3">
      <c r="I68"/>
      <c r="L68" s="11" t="s">
        <v>65</v>
      </c>
      <c r="M68" s="46">
        <f t="shared" ref="M68" si="47">M65-M66+M67</f>
        <v>182.25313478764119</v>
      </c>
      <c r="N68" s="46">
        <f t="shared" ref="N68:S68" si="48">N67+N65-N66</f>
        <v>168.93844676770209</v>
      </c>
      <c r="O68" s="46">
        <f t="shared" si="48"/>
        <v>202.88007017144287</v>
      </c>
      <c r="P68" s="46">
        <f t="shared" si="48"/>
        <v>178.74437041094768</v>
      </c>
      <c r="Q68" s="46">
        <f t="shared" si="48"/>
        <v>232.84559341527171</v>
      </c>
      <c r="R68" s="46">
        <f t="shared" si="48"/>
        <v>296.32742726955149</v>
      </c>
      <c r="S68" s="46">
        <f t="shared" si="48"/>
        <v>345.23516627090544</v>
      </c>
      <c r="T68" s="48" t="s">
        <v>120</v>
      </c>
    </row>
    <row r="69" spans="1:20" s="14" customFormat="1" ht="15" customHeight="1" x14ac:dyDescent="0.3">
      <c r="A69" s="1"/>
      <c r="B69" s="1"/>
      <c r="C69" s="1"/>
      <c r="D69" s="1"/>
      <c r="E69" s="1"/>
      <c r="F69" s="1"/>
      <c r="G69" s="1"/>
      <c r="H69" s="1"/>
      <c r="I69"/>
      <c r="L69" s="9" t="s">
        <v>67</v>
      </c>
      <c r="M69" s="46">
        <f>AVERAGE(M48:M48)/B4*365</f>
        <v>164.71410887695134</v>
      </c>
      <c r="N69" s="46">
        <f>AVERAGE(M48:N48)/C4*365</f>
        <v>163.71651899841933</v>
      </c>
      <c r="O69" s="46">
        <f>AVERAGE(N48:O48)/D4*365</f>
        <v>236.12765567500566</v>
      </c>
      <c r="P69" s="46">
        <f>AVERAGE(O48:P48)/E4*365</f>
        <v>187.74845768432039</v>
      </c>
      <c r="Q69" s="46">
        <f>AVERAGE(P48:Q48)/F4*365</f>
        <v>163.15291980925286</v>
      </c>
      <c r="R69" s="46">
        <f>AVERAGE(Q48:R48)/G4*365</f>
        <v>168.19436204574777</v>
      </c>
      <c r="S69" s="46">
        <f t="shared" ref="S69" si="49">AVERAGE(R48:S48)/H4*365</f>
        <v>164.08597704491962</v>
      </c>
      <c r="T69" s="48" t="s">
        <v>120</v>
      </c>
    </row>
    <row r="70" spans="1:20" ht="15" customHeight="1" x14ac:dyDescent="0.3">
      <c r="I70"/>
      <c r="L70" s="9" t="s">
        <v>55</v>
      </c>
      <c r="M70" s="44">
        <f t="shared" ref="M70:S70" si="50">B21/M9</f>
        <v>0.20058295964125558</v>
      </c>
      <c r="N70" s="44">
        <f t="shared" si="50"/>
        <v>0.53557934508816119</v>
      </c>
      <c r="O70" s="44">
        <f t="shared" si="50"/>
        <v>0.38811835679402473</v>
      </c>
      <c r="P70" s="44">
        <f t="shared" si="50"/>
        <v>0.22928540113985096</v>
      </c>
      <c r="Q70" s="44">
        <f t="shared" si="50"/>
        <v>0.12104559631664934</v>
      </c>
      <c r="R70" s="44">
        <f t="shared" si="50"/>
        <v>0.17272685377206323</v>
      </c>
      <c r="S70" s="44">
        <f t="shared" si="50"/>
        <v>0.1658592688112083</v>
      </c>
      <c r="T70" s="48" t="s">
        <v>120</v>
      </c>
    </row>
    <row r="71" spans="1:20" ht="15" customHeight="1" x14ac:dyDescent="0.3">
      <c r="I71"/>
      <c r="L71" s="9" t="s">
        <v>66</v>
      </c>
      <c r="M71" s="47">
        <f>(B15-B20)/B21</f>
        <v>8.85770176615247</v>
      </c>
      <c r="N71" s="47">
        <f>(C15-C20)/C21</f>
        <v>5.3513815402704372</v>
      </c>
      <c r="O71" s="47">
        <f>(D15-D20)/D21</f>
        <v>6.0222199194694452</v>
      </c>
      <c r="P71" s="47">
        <f>(E15-E20)/E21</f>
        <v>9.1119885277246695</v>
      </c>
      <c r="Q71" s="47">
        <f>(F15-F20)/F21</f>
        <v>7.1914110429447851</v>
      </c>
      <c r="R71" s="47">
        <f t="shared" ref="R71" si="51">(G15-G20)/G21</f>
        <v>2.4186232657417306</v>
      </c>
      <c r="S71" s="47">
        <f>(H15-H20)/H21</f>
        <v>2.6545492750577853</v>
      </c>
      <c r="T71" s="48" t="s">
        <v>120</v>
      </c>
    </row>
    <row r="72" spans="1:20" ht="15" customHeight="1" x14ac:dyDescent="0.3">
      <c r="I72"/>
      <c r="L72" s="60"/>
      <c r="M72" s="60"/>
      <c r="N72" s="60"/>
      <c r="O72" s="60"/>
      <c r="P72" s="60"/>
      <c r="Q72" s="60"/>
      <c r="R72" s="60"/>
      <c r="S72"/>
    </row>
    <row r="73" spans="1:20" ht="15" customHeight="1" x14ac:dyDescent="0.3">
      <c r="I73"/>
      <c r="N73" s="15"/>
    </row>
    <row r="74" spans="1:20" ht="15" customHeight="1" x14ac:dyDescent="0.2">
      <c r="N74" s="15"/>
    </row>
    <row r="75" spans="1:20" ht="15" customHeight="1" x14ac:dyDescent="0.2">
      <c r="N75" s="15"/>
    </row>
    <row r="76" spans="1:20" ht="15" customHeight="1" x14ac:dyDescent="0.2">
      <c r="N76" s="15"/>
    </row>
    <row r="77" spans="1:20" ht="15" customHeight="1" x14ac:dyDescent="0.2">
      <c r="N77" s="15"/>
    </row>
    <row r="78" spans="1:20" ht="15" customHeight="1" x14ac:dyDescent="0.2">
      <c r="N78" s="15"/>
    </row>
  </sheetData>
  <mergeCells count="5">
    <mergeCell ref="L72:R72"/>
    <mergeCell ref="L2:S2"/>
    <mergeCell ref="A2:I2"/>
    <mergeCell ref="A39:I39"/>
    <mergeCell ref="A1:T1"/>
  </mergeCells>
  <phoneticPr fontId="3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  <ignoredErrors>
    <ignoredError sqref="M66:R66 R67:S67 S6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6:I15"/>
  <sheetViews>
    <sheetView workbookViewId="0">
      <selection activeCell="F6" sqref="F6:I16"/>
    </sheetView>
  </sheetViews>
  <sheetFormatPr defaultColWidth="8.88671875" defaultRowHeight="14.4" x14ac:dyDescent="0.3"/>
  <cols>
    <col min="6" max="6" width="17" customWidth="1"/>
    <col min="7" max="7" width="12.88671875" customWidth="1"/>
    <col min="8" max="8" width="11.6640625" customWidth="1"/>
    <col min="9" max="9" width="13" customWidth="1"/>
  </cols>
  <sheetData>
    <row r="6" spans="6:9" x14ac:dyDescent="0.3">
      <c r="F6" s="25"/>
      <c r="G6" s="26"/>
      <c r="H6" s="27"/>
      <c r="I6" s="27"/>
    </row>
    <row r="7" spans="6:9" x14ac:dyDescent="0.3">
      <c r="F7" s="28"/>
      <c r="G7" s="29"/>
      <c r="H7" s="30"/>
      <c r="I7" s="30"/>
    </row>
    <row r="8" spans="6:9" x14ac:dyDescent="0.3">
      <c r="F8" s="28"/>
      <c r="G8" s="29"/>
      <c r="H8" s="30"/>
      <c r="I8" s="30"/>
    </row>
    <row r="9" spans="6:9" x14ac:dyDescent="0.3">
      <c r="F9" s="28"/>
      <c r="G9" s="29"/>
      <c r="H9" s="30"/>
      <c r="I9" s="30"/>
    </row>
    <row r="10" spans="6:9" x14ac:dyDescent="0.3">
      <c r="F10" s="28"/>
      <c r="G10" s="29"/>
      <c r="H10" s="30"/>
      <c r="I10" s="30"/>
    </row>
    <row r="11" spans="6:9" x14ac:dyDescent="0.3">
      <c r="F11" s="28"/>
      <c r="G11" s="29"/>
      <c r="H11" s="31"/>
      <c r="I11" s="30"/>
    </row>
    <row r="12" spans="6:9" x14ac:dyDescent="0.3">
      <c r="F12" s="28"/>
      <c r="G12" s="29"/>
      <c r="H12" s="31"/>
      <c r="I12" s="30"/>
    </row>
    <row r="13" spans="6:9" x14ac:dyDescent="0.3">
      <c r="F13" s="32"/>
      <c r="G13" s="33"/>
      <c r="H13" s="30"/>
      <c r="I13" s="30"/>
    </row>
    <row r="15" spans="6:9" ht="15" thickBot="1" x14ac:dyDescent="0.35">
      <c r="F15" s="22"/>
      <c r="G15" s="23"/>
      <c r="H15" s="24"/>
      <c r="I15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2023-03-27T04:17:33Z</cp:lastPrinted>
  <dcterms:created xsi:type="dcterms:W3CDTF">2017-09-19T08:05:47Z</dcterms:created>
  <dcterms:modified xsi:type="dcterms:W3CDTF">2026-02-05T07:20:32Z</dcterms:modified>
</cp:coreProperties>
</file>