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ummary Q2\"/>
    </mc:Choice>
  </mc:AlternateContent>
  <xr:revisionPtr revIDLastSave="0" documentId="8_{1DEC7EC6-D8E7-41E2-B550-FB4A67357F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7" i="1" l="1"/>
  <c r="K51" i="1"/>
  <c r="K52" i="1"/>
  <c r="K32" i="1"/>
  <c r="K6" i="1"/>
  <c r="J51" i="1"/>
  <c r="W84" i="1"/>
  <c r="W77" i="1"/>
  <c r="U67" i="1"/>
  <c r="W67" i="1"/>
  <c r="V67" i="1"/>
  <c r="K58" i="1"/>
  <c r="J58" i="1"/>
  <c r="W10" i="1"/>
  <c r="J57" i="1"/>
  <c r="X43" i="1"/>
  <c r="X62" i="1" s="1"/>
  <c r="W43" i="1"/>
  <c r="X30" i="1"/>
  <c r="X51" i="1" s="1"/>
  <c r="W30" i="1"/>
  <c r="W51" i="1" s="1"/>
  <c r="X14" i="1"/>
  <c r="X61" i="1" s="1"/>
  <c r="X11" i="1"/>
  <c r="X10" i="1"/>
  <c r="X76" i="1" s="1"/>
  <c r="X6" i="1"/>
  <c r="X68" i="1" s="1"/>
  <c r="X71" i="1" s="1"/>
  <c r="K50" i="1"/>
  <c r="J50" i="1"/>
  <c r="K46" i="1"/>
  <c r="K57" i="1" l="1"/>
  <c r="X75" i="1"/>
  <c r="W83" i="1"/>
  <c r="K56" i="1"/>
  <c r="K59" i="1" s="1"/>
  <c r="K29" i="1"/>
  <c r="K9" i="1"/>
  <c r="J9" i="1"/>
  <c r="K17" i="1" l="1"/>
  <c r="J6" i="1"/>
  <c r="J56" i="1"/>
  <c r="J59" i="1" s="1"/>
  <c r="J46" i="1"/>
  <c r="K20" i="1" l="1"/>
  <c r="X74" i="1"/>
  <c r="W78" i="1"/>
  <c r="K25" i="1"/>
  <c r="K31" i="1"/>
  <c r="X73" i="1" s="1"/>
  <c r="K30" i="1"/>
  <c r="V77" i="1"/>
  <c r="V84" i="1"/>
  <c r="W14" i="1"/>
  <c r="H6" i="1"/>
  <c r="K35" i="1" l="1"/>
  <c r="F51" i="1"/>
  <c r="G51" i="1"/>
  <c r="H51" i="1"/>
  <c r="I51" i="1"/>
  <c r="F58" i="1" l="1"/>
  <c r="G56" i="1"/>
  <c r="H56" i="1"/>
  <c r="I56" i="1"/>
  <c r="F56" i="1"/>
  <c r="S67" i="1"/>
  <c r="S70" i="1" s="1"/>
  <c r="T14" i="1"/>
  <c r="S10" i="1"/>
  <c r="F57" i="1" s="1"/>
  <c r="T10" i="1"/>
  <c r="T83" i="1" s="1"/>
  <c r="T6" i="1"/>
  <c r="T68" i="1" s="1"/>
  <c r="T71" i="1" s="1"/>
  <c r="U6" i="1"/>
  <c r="U68" i="1" s="1"/>
  <c r="U71" i="1" s="1"/>
  <c r="U14" i="1"/>
  <c r="V10" i="1"/>
  <c r="V83" i="1" s="1"/>
  <c r="G46" i="1"/>
  <c r="H46" i="1"/>
  <c r="I46" i="1"/>
  <c r="F46" i="1"/>
  <c r="F47" i="1" s="1"/>
  <c r="G42" i="1" s="1"/>
  <c r="G29" i="1"/>
  <c r="H29" i="1"/>
  <c r="I29" i="1"/>
  <c r="J29" i="1"/>
  <c r="S46" i="1"/>
  <c r="S43" i="1" s="1"/>
  <c r="F27" i="1"/>
  <c r="F29" i="1" s="1"/>
  <c r="V14" i="1"/>
  <c r="V43" i="1"/>
  <c r="U43" i="1"/>
  <c r="T43" i="1"/>
  <c r="T30" i="1"/>
  <c r="S14" i="1"/>
  <c r="G58" i="1"/>
  <c r="H58" i="1"/>
  <c r="I58" i="1"/>
  <c r="F9" i="1"/>
  <c r="S80" i="1" s="1"/>
  <c r="F6" i="1"/>
  <c r="S78" i="1" s="1"/>
  <c r="G6" i="1"/>
  <c r="I6" i="1"/>
  <c r="E35" i="1"/>
  <c r="B6" i="1"/>
  <c r="C6" i="1"/>
  <c r="D6" i="1"/>
  <c r="E6" i="1"/>
  <c r="B9" i="1"/>
  <c r="C9" i="1"/>
  <c r="D9" i="1"/>
  <c r="Q79" i="1" s="1"/>
  <c r="E9" i="1"/>
  <c r="R80" i="1" s="1"/>
  <c r="G9" i="1"/>
  <c r="T80" i="1" s="1"/>
  <c r="I9" i="1"/>
  <c r="V80" i="1" s="1"/>
  <c r="H9" i="1"/>
  <c r="D29" i="1"/>
  <c r="E29" i="1"/>
  <c r="T67" i="1"/>
  <c r="T70" i="1" s="1"/>
  <c r="U70" i="1"/>
  <c r="B46" i="1"/>
  <c r="B47" i="1" s="1"/>
  <c r="C46" i="1"/>
  <c r="C47" i="1" s="1"/>
  <c r="D46" i="1"/>
  <c r="D47" i="1" s="1"/>
  <c r="E46" i="1"/>
  <c r="E47" i="1" s="1"/>
  <c r="B50" i="1"/>
  <c r="B52" i="1" s="1"/>
  <c r="C50" i="1"/>
  <c r="C52" i="1" s="1"/>
  <c r="D50" i="1"/>
  <c r="D52" i="1" s="1"/>
  <c r="E50" i="1"/>
  <c r="E52" i="1" s="1"/>
  <c r="F50" i="1"/>
  <c r="F52" i="1" s="1"/>
  <c r="G50" i="1"/>
  <c r="H50" i="1"/>
  <c r="I50" i="1"/>
  <c r="J52" i="1"/>
  <c r="C51" i="1"/>
  <c r="D51" i="1"/>
  <c r="E51" i="1"/>
  <c r="B56" i="1"/>
  <c r="C56" i="1"/>
  <c r="D56" i="1"/>
  <c r="E56" i="1"/>
  <c r="B58" i="1"/>
  <c r="C58" i="1"/>
  <c r="D58" i="1"/>
  <c r="E58" i="1"/>
  <c r="S84" i="1"/>
  <c r="R84" i="1"/>
  <c r="Q84" i="1"/>
  <c r="P80" i="1"/>
  <c r="O80" i="1"/>
  <c r="P79" i="1"/>
  <c r="O79" i="1"/>
  <c r="U77" i="1"/>
  <c r="T77" i="1"/>
  <c r="S77" i="1"/>
  <c r="R77" i="1"/>
  <c r="Q77" i="1"/>
  <c r="P77" i="1"/>
  <c r="O77" i="1"/>
  <c r="V70" i="1"/>
  <c r="R67" i="1"/>
  <c r="R70" i="1" s="1"/>
  <c r="Q67" i="1"/>
  <c r="Q70" i="1" s="1"/>
  <c r="P67" i="1"/>
  <c r="P70" i="1" s="1"/>
  <c r="O67" i="1"/>
  <c r="O70" i="1" s="1"/>
  <c r="R43" i="1"/>
  <c r="Q43" i="1"/>
  <c r="P43" i="1"/>
  <c r="O43" i="1"/>
  <c r="V30" i="1"/>
  <c r="U30" i="1"/>
  <c r="S30" i="1"/>
  <c r="R30" i="1"/>
  <c r="R61" i="1" s="1"/>
  <c r="Q30" i="1"/>
  <c r="Q61" i="1" s="1"/>
  <c r="P30" i="1"/>
  <c r="P61" i="1" s="1"/>
  <c r="O30" i="1"/>
  <c r="O61" i="1" s="1"/>
  <c r="R14" i="1"/>
  <c r="Q14" i="1"/>
  <c r="U10" i="1"/>
  <c r="H57" i="1" s="1"/>
  <c r="R10" i="1"/>
  <c r="E57" i="1" s="1"/>
  <c r="Q10" i="1"/>
  <c r="D57" i="1" s="1"/>
  <c r="P10" i="1"/>
  <c r="P83" i="1" s="1"/>
  <c r="O10" i="1"/>
  <c r="O83" i="1" s="1"/>
  <c r="W6" i="1"/>
  <c r="V6" i="1"/>
  <c r="S6" i="1"/>
  <c r="S11" i="1" s="1"/>
  <c r="R6" i="1"/>
  <c r="Q6" i="1"/>
  <c r="P6" i="1"/>
  <c r="O6" i="1"/>
  <c r="W11" i="1" l="1"/>
  <c r="W68" i="1"/>
  <c r="W75" i="1"/>
  <c r="W76" i="1"/>
  <c r="G47" i="1"/>
  <c r="H42" i="1" s="1"/>
  <c r="H47" i="1"/>
  <c r="I42" i="1" s="1"/>
  <c r="I47" i="1" s="1"/>
  <c r="J42" i="1" s="1"/>
  <c r="J47" i="1" s="1"/>
  <c r="K42" i="1" s="1"/>
  <c r="K47" i="1" s="1"/>
  <c r="I57" i="1"/>
  <c r="S61" i="1"/>
  <c r="V68" i="1"/>
  <c r="V11" i="1"/>
  <c r="W61" i="1"/>
  <c r="I17" i="1"/>
  <c r="I25" i="1" s="1"/>
  <c r="I8" i="1"/>
  <c r="I59" i="1"/>
  <c r="J8" i="1"/>
  <c r="G17" i="1"/>
  <c r="W80" i="1"/>
  <c r="W81" i="1" s="1"/>
  <c r="W79" i="1"/>
  <c r="J17" i="1"/>
  <c r="W72" i="1" s="1"/>
  <c r="U80" i="1"/>
  <c r="H17" i="1"/>
  <c r="H25" i="1" s="1"/>
  <c r="W71" i="1"/>
  <c r="W62" i="1"/>
  <c r="V75" i="1"/>
  <c r="T75" i="1"/>
  <c r="V78" i="1"/>
  <c r="I7" i="1"/>
  <c r="J7" i="1"/>
  <c r="S75" i="1"/>
  <c r="U61" i="1"/>
  <c r="F59" i="1"/>
  <c r="U75" i="1"/>
  <c r="S76" i="1"/>
  <c r="V76" i="1"/>
  <c r="T76" i="1"/>
  <c r="S79" i="1"/>
  <c r="G7" i="1"/>
  <c r="S68" i="1"/>
  <c r="S71" i="1" s="1"/>
  <c r="U76" i="1"/>
  <c r="U11" i="1"/>
  <c r="F17" i="1"/>
  <c r="H59" i="1"/>
  <c r="G57" i="1"/>
  <c r="G59" i="1" s="1"/>
  <c r="T62" i="1"/>
  <c r="S62" i="1"/>
  <c r="C7" i="1"/>
  <c r="G52" i="1"/>
  <c r="C17" i="1"/>
  <c r="B17" i="1"/>
  <c r="B25" i="1" s="1"/>
  <c r="B31" i="1" s="1"/>
  <c r="E7" i="1"/>
  <c r="I52" i="1"/>
  <c r="H52" i="1"/>
  <c r="G25" i="1"/>
  <c r="T85" i="1" s="1"/>
  <c r="H7" i="1"/>
  <c r="E59" i="1"/>
  <c r="D59" i="1"/>
  <c r="E17" i="1"/>
  <c r="C57" i="1"/>
  <c r="C59" i="1" s="1"/>
  <c r="D17" i="1"/>
  <c r="B57" i="1"/>
  <c r="B59" i="1" s="1"/>
  <c r="V61" i="1"/>
  <c r="S51" i="1"/>
  <c r="T51" i="1"/>
  <c r="O51" i="1"/>
  <c r="P51" i="1"/>
  <c r="S83" i="1"/>
  <c r="Q80" i="1"/>
  <c r="V79" i="1"/>
  <c r="R79" i="1"/>
  <c r="V62" i="1"/>
  <c r="Q11" i="1"/>
  <c r="Q13" i="1" s="1"/>
  <c r="U79" i="1"/>
  <c r="T79" i="1"/>
  <c r="Q51" i="1"/>
  <c r="Q78" i="1"/>
  <c r="O62" i="1"/>
  <c r="O11" i="1"/>
  <c r="O75" i="1"/>
  <c r="P73" i="1"/>
  <c r="P11" i="1"/>
  <c r="U83" i="1"/>
  <c r="T11" i="1"/>
  <c r="R78" i="1"/>
  <c r="V71" i="1"/>
  <c r="P75" i="1"/>
  <c r="P76" i="1"/>
  <c r="Q75" i="1"/>
  <c r="Q83" i="1"/>
  <c r="Q76" i="1"/>
  <c r="R62" i="1"/>
  <c r="R51" i="1"/>
  <c r="P62" i="1"/>
  <c r="R75" i="1"/>
  <c r="R83" i="1"/>
  <c r="R76" i="1"/>
  <c r="Q62" i="1"/>
  <c r="O73" i="1"/>
  <c r="V51" i="1"/>
  <c r="W82" i="1" s="1"/>
  <c r="Q68" i="1"/>
  <c r="Q71" i="1" s="1"/>
  <c r="T84" i="1"/>
  <c r="R11" i="1"/>
  <c r="R13" i="1" s="1"/>
  <c r="R68" i="1"/>
  <c r="R71" i="1" s="1"/>
  <c r="U84" i="1"/>
  <c r="U62" i="1"/>
  <c r="O76" i="1"/>
  <c r="O78" i="1"/>
  <c r="O81" i="1" s="1"/>
  <c r="P78" i="1"/>
  <c r="P81" i="1" s="1"/>
  <c r="W74" i="1" l="1"/>
  <c r="J25" i="1"/>
  <c r="J18" i="1"/>
  <c r="S72" i="1"/>
  <c r="V81" i="1"/>
  <c r="I19" i="1"/>
  <c r="V85" i="1"/>
  <c r="F20" i="1"/>
  <c r="S74" i="1"/>
  <c r="F25" i="1"/>
  <c r="F30" i="1" s="1"/>
  <c r="J20" i="1"/>
  <c r="U85" i="1"/>
  <c r="B20" i="1"/>
  <c r="C18" i="1"/>
  <c r="H20" i="1"/>
  <c r="C25" i="1"/>
  <c r="C31" i="1" s="1"/>
  <c r="C20" i="1"/>
  <c r="I20" i="1"/>
  <c r="I18" i="1"/>
  <c r="E25" i="1"/>
  <c r="E18" i="1"/>
  <c r="E20" i="1"/>
  <c r="G18" i="1"/>
  <c r="G20" i="1"/>
  <c r="D25" i="1"/>
  <c r="D20" i="1"/>
  <c r="H18" i="1"/>
  <c r="R82" i="1"/>
  <c r="P82" i="1"/>
  <c r="R81" i="1"/>
  <c r="S82" i="1"/>
  <c r="Q82" i="1"/>
  <c r="Q72" i="1"/>
  <c r="O82" i="1"/>
  <c r="V72" i="1"/>
  <c r="V74" i="1"/>
  <c r="P72" i="1"/>
  <c r="R72" i="1"/>
  <c r="U51" i="1"/>
  <c r="U82" i="1" s="1"/>
  <c r="Q81" i="1"/>
  <c r="Q74" i="1"/>
  <c r="P74" i="1"/>
  <c r="T82" i="1"/>
  <c r="T78" i="1"/>
  <c r="T81" i="1" s="1"/>
  <c r="O74" i="1"/>
  <c r="S81" i="1"/>
  <c r="U78" i="1"/>
  <c r="U81" i="1" s="1"/>
  <c r="R74" i="1"/>
  <c r="O72" i="1"/>
  <c r="W85" i="1" l="1"/>
  <c r="J30" i="1"/>
  <c r="J31" i="1"/>
  <c r="W73" i="1" s="1"/>
  <c r="I31" i="1"/>
  <c r="I32" i="1" s="1"/>
  <c r="H31" i="1"/>
  <c r="S85" i="1"/>
  <c r="F31" i="1"/>
  <c r="H30" i="1"/>
  <c r="I30" i="1"/>
  <c r="D31" i="1"/>
  <c r="D30" i="1"/>
  <c r="E31" i="1"/>
  <c r="E30" i="1"/>
  <c r="G31" i="1"/>
  <c r="G30" i="1"/>
  <c r="V82" i="1"/>
  <c r="U74" i="1"/>
  <c r="T74" i="1"/>
  <c r="T72" i="1"/>
  <c r="U72" i="1"/>
  <c r="I35" i="1" l="1"/>
  <c r="I33" i="1"/>
  <c r="J33" i="1"/>
  <c r="J32" i="1"/>
  <c r="J35" i="1"/>
  <c r="H35" i="1"/>
  <c r="H32" i="1"/>
  <c r="G35" i="1"/>
  <c r="G32" i="1"/>
  <c r="S73" i="1"/>
  <c r="F35" i="1"/>
  <c r="F32" i="1"/>
  <c r="E32" i="1"/>
  <c r="D32" i="1"/>
  <c r="Q73" i="1"/>
  <c r="V73" i="1"/>
  <c r="R73" i="1"/>
  <c r="U73" i="1" l="1"/>
  <c r="T73" i="1"/>
  <c r="T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ID#AAABXal4HSA
Suyash    (2024-11-05 16:48:09)
Please check this</t>
        </r>
      </text>
    </comment>
    <comment ref="R4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======
ID#AAABXal4HRo
Suyash    (2024-11-05 16:48:09)
Old Format</t>
        </r>
      </text>
    </comment>
  </commentList>
</comments>
</file>

<file path=xl/sharedStrings.xml><?xml version="1.0" encoding="utf-8"?>
<sst xmlns="http://schemas.openxmlformats.org/spreadsheetml/2006/main" count="197" uniqueCount="141">
  <si>
    <t>Income Statement</t>
  </si>
  <si>
    <t>Balance Sheet</t>
  </si>
  <si>
    <t>Y/E, Mar (Rs. Cr)</t>
  </si>
  <si>
    <t>FY14</t>
  </si>
  <si>
    <t>FY15</t>
  </si>
  <si>
    <t>FY16</t>
  </si>
  <si>
    <t>FY17</t>
  </si>
  <si>
    <t>FY21</t>
  </si>
  <si>
    <t>FY22</t>
  </si>
  <si>
    <t>FY23</t>
  </si>
  <si>
    <t>FY 24</t>
  </si>
  <si>
    <t>FY24</t>
  </si>
  <si>
    <t>Revenue from Operations</t>
  </si>
  <si>
    <t>Equity Share Capital</t>
  </si>
  <si>
    <t>Other Income</t>
  </si>
  <si>
    <t>Other Equity</t>
  </si>
  <si>
    <t>Net Sales</t>
  </si>
  <si>
    <t>Networth/Shareholders Fund/ Book Value</t>
  </si>
  <si>
    <t>Growth (%)</t>
  </si>
  <si>
    <t>NA</t>
  </si>
  <si>
    <t>Minority Interest</t>
  </si>
  <si>
    <t>CAGR (%) - 3 Years</t>
  </si>
  <si>
    <t>Long Term Debt</t>
  </si>
  <si>
    <t>Expenditure</t>
  </si>
  <si>
    <t>Short Term Debt</t>
  </si>
  <si>
    <t>Loans</t>
  </si>
  <si>
    <t>Capital Employed</t>
  </si>
  <si>
    <t>-</t>
  </si>
  <si>
    <t>NON- CURRENT ASSETS</t>
  </si>
  <si>
    <t>Property, Palnt and Equipment</t>
  </si>
  <si>
    <t>Capital WIP</t>
  </si>
  <si>
    <t>EBITDA</t>
  </si>
  <si>
    <t>Investment Property</t>
  </si>
  <si>
    <t>Investment Property Under Development</t>
  </si>
  <si>
    <t>Intangible Assets</t>
  </si>
  <si>
    <t>EBITDA margin (%)</t>
  </si>
  <si>
    <t>Intangible Assets Under Development</t>
  </si>
  <si>
    <t>Depreciation and amortisation cost</t>
  </si>
  <si>
    <t>Investment accounted for using equity method</t>
  </si>
  <si>
    <t>Finance Cost</t>
  </si>
  <si>
    <t>Financial Assets</t>
  </si>
  <si>
    <t>Excp Item (share of profit to JV)</t>
  </si>
  <si>
    <t>a) Investment</t>
  </si>
  <si>
    <t>Extraordinary Items</t>
  </si>
  <si>
    <t>b) Loans</t>
  </si>
  <si>
    <t>PBT</t>
  </si>
  <si>
    <t>c) Other Financial Assets</t>
  </si>
  <si>
    <t>Current Tax</t>
  </si>
  <si>
    <t>Other Non-Current assets</t>
  </si>
  <si>
    <t>MAT Credit recognised</t>
  </si>
  <si>
    <t>Defferred tax assets (net)</t>
  </si>
  <si>
    <t>Deferred Tax</t>
  </si>
  <si>
    <t>Total Tax Expense</t>
  </si>
  <si>
    <t>Effective tax rate (%)</t>
  </si>
  <si>
    <t>CURRENT ASSETS, LOANS &amp; ADVANCES</t>
  </si>
  <si>
    <t>Inventories</t>
  </si>
  <si>
    <t>PAT margin (%)</t>
  </si>
  <si>
    <t>a) Trade Receivables</t>
  </si>
  <si>
    <t>b) Cash &amp; Cash Equivalents</t>
  </si>
  <si>
    <t>c) Bank Bal other than above</t>
  </si>
  <si>
    <t>d) Loans</t>
  </si>
  <si>
    <t>e) Other Current Financial Assets</t>
  </si>
  <si>
    <t>(f) Current Investment</t>
  </si>
  <si>
    <t>Other Current Assets</t>
  </si>
  <si>
    <t>Profit for the year</t>
  </si>
  <si>
    <t>Assets classified as held for sale</t>
  </si>
  <si>
    <t>CURRENT LIABILITIES &amp; PROVISIONS</t>
  </si>
  <si>
    <t>Total other comprehensive income for the year (net of tax)</t>
  </si>
  <si>
    <t>Financial Liabilities</t>
  </si>
  <si>
    <t>Total comprehensive income for the year</t>
  </si>
  <si>
    <t>(i) Lease liabilities</t>
  </si>
  <si>
    <t>(ii) Trade Payables</t>
  </si>
  <si>
    <t>EPS</t>
  </si>
  <si>
    <t>(iii) Other financial liabilities</t>
  </si>
  <si>
    <t>Provisions</t>
  </si>
  <si>
    <t>Other current liabilities</t>
  </si>
  <si>
    <t>NET CURRENT ASSETS</t>
  </si>
  <si>
    <t>Cash Flow</t>
  </si>
  <si>
    <t>Y/E, Mar (Rs. Cr.)</t>
  </si>
  <si>
    <t>Long Term Provisions</t>
  </si>
  <si>
    <t>Cash and Cash Equivalents at Beginning of the year</t>
  </si>
  <si>
    <t>Deferred Tax Liability (Net)</t>
  </si>
  <si>
    <t>Cash Flow From Operating Activities</t>
  </si>
  <si>
    <t>Other Non Current Liability</t>
  </si>
  <si>
    <t>Cash Flow from Investing Activities</t>
  </si>
  <si>
    <t>Other Financial Liabilities</t>
  </si>
  <si>
    <t>Cash Flow From Financing Activities</t>
  </si>
  <si>
    <t>Lease Liability</t>
  </si>
  <si>
    <t>Net Inc./(Dec.) in Cash and Cash Equivalent</t>
  </si>
  <si>
    <t>Cash and Cash Equivalents at End of the year</t>
  </si>
  <si>
    <t>Liabilities directly associated with assets held for sale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</si>
  <si>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</si>
  <si>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</si>
  <si>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</si>
  <si>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</si>
  <si>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</si>
  <si>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</si>
  <si>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</si>
  <si>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 xml:space="preserve"> </t>
  </si>
  <si>
    <t xml:space="preserve">Y/E, Mar </t>
  </si>
  <si>
    <t>CMP(Rs)</t>
  </si>
  <si>
    <t>No. of Shares</t>
  </si>
  <si>
    <t>EPS (Rs) (from Continuing Operations)</t>
  </si>
  <si>
    <t>Market Cap</t>
  </si>
  <si>
    <t>BVPS (Rs)</t>
  </si>
  <si>
    <t>Total Debt</t>
  </si>
  <si>
    <t>DPS (Rs)</t>
  </si>
  <si>
    <t>Cash</t>
  </si>
  <si>
    <t>P/E (x)</t>
  </si>
  <si>
    <t>EV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</si>
  <si>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</si>
  <si>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</si>
  <si>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</si>
  <si>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</si>
  <si>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</si>
  <si>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</si>
  <si>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</si>
  <si>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</si>
  <si>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</si>
  <si>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</si>
  <si>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</si>
  <si>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</si>
  <si>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</si>
  <si>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Fixed Assets Turnover Ratio</t>
  </si>
  <si>
    <t>Interest coverage ratio</t>
  </si>
  <si>
    <t>Puravankara Ltd. (Consolidated)</t>
  </si>
  <si>
    <t>Sub-contractor cost</t>
  </si>
  <si>
    <t>Cost of raw materials, components and stores consumed</t>
  </si>
  <si>
    <t>(Increase)/ decrease in inventories of stock of flats, land stock and work-in-progress</t>
  </si>
  <si>
    <t>Employee benefits expense</t>
  </si>
  <si>
    <t>Other expenses</t>
  </si>
  <si>
    <t>Current tax liabilities</t>
  </si>
  <si>
    <t>Assets for current tax (net)</t>
  </si>
  <si>
    <t>Y/E, Mar (Rs. Mn)</t>
  </si>
  <si>
    <t>Diluted Earnings Per Share - (Continuing &amp; discontinued operations)</t>
  </si>
  <si>
    <t>FY 25</t>
  </si>
  <si>
    <t>Purcahse of stocks of flats</t>
  </si>
  <si>
    <t>FY25</t>
  </si>
  <si>
    <t>Land Purchase cost</t>
  </si>
  <si>
    <t>TTM</t>
  </si>
  <si>
    <t>H1-FY26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</si>
</sst>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 * #,##0.0_ ;_ * \-#,##0.0_ ;_ * &quot;-&quot;??_ ;_ @_ "/>
    <numFmt numFmtId="167" formatCode="_ * #,##0_ ;_ * \-#,##0_ ;_ * &quot;-&quot;??_ ;_ @_ "/>
    <numFmt numFmtId="168" formatCode="0.0%"/>
  </numFmts>
  <fonts count="2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rgb="FF000000"/>
      <name val="MyFirstFont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0" borderId="0" xfId="0" applyFont="1"/>
    <xf numFmtId="0" fontId="4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166" fontId="4" fillId="0" borderId="6" xfId="0" applyNumberFormat="1" applyFont="1" applyBorder="1"/>
    <xf numFmtId="166" fontId="5" fillId="0" borderId="6" xfId="0" applyNumberFormat="1" applyFont="1" applyBorder="1"/>
    <xf numFmtId="10" fontId="5" fillId="0" borderId="0" xfId="0" applyNumberFormat="1" applyFont="1"/>
    <xf numFmtId="0" fontId="5" fillId="0" borderId="5" xfId="0" applyFont="1" applyBorder="1"/>
    <xf numFmtId="0" fontId="7" fillId="0" borderId="6" xfId="0" applyFont="1" applyBorder="1"/>
    <xf numFmtId="0" fontId="4" fillId="4" borderId="5" xfId="0" applyFont="1" applyFill="1" applyBorder="1"/>
    <xf numFmtId="166" fontId="4" fillId="4" borderId="6" xfId="0" applyNumberFormat="1" applyFont="1" applyFill="1" applyBorder="1"/>
    <xf numFmtId="166" fontId="4" fillId="4" borderId="7" xfId="0" applyNumberFormat="1" applyFont="1" applyFill="1" applyBorder="1"/>
    <xf numFmtId="164" fontId="5" fillId="0" borderId="0" xfId="0" applyNumberFormat="1" applyFont="1"/>
    <xf numFmtId="0" fontId="9" fillId="4" borderId="5" xfId="0" applyFont="1" applyFill="1" applyBorder="1"/>
    <xf numFmtId="10" fontId="9" fillId="4" borderId="6" xfId="0" applyNumberFormat="1" applyFont="1" applyFill="1" applyBorder="1"/>
    <xf numFmtId="10" fontId="9" fillId="4" borderId="7" xfId="0" applyNumberFormat="1" applyFont="1" applyFill="1" applyBorder="1"/>
    <xf numFmtId="0" fontId="5" fillId="0" borderId="6" xfId="0" applyFont="1" applyBorder="1"/>
    <xf numFmtId="166" fontId="4" fillId="0" borderId="7" xfId="0" applyNumberFormat="1" applyFont="1" applyBorder="1"/>
    <xf numFmtId="43" fontId="5" fillId="0" borderId="6" xfId="0" applyNumberFormat="1" applyFont="1" applyBorder="1"/>
    <xf numFmtId="0" fontId="4" fillId="4" borderId="9" xfId="0" applyFont="1" applyFill="1" applyBorder="1"/>
    <xf numFmtId="166" fontId="4" fillId="4" borderId="10" xfId="0" applyNumberFormat="1" applyFont="1" applyFill="1" applyBorder="1"/>
    <xf numFmtId="165" fontId="5" fillId="0" borderId="7" xfId="0" applyNumberFormat="1" applyFont="1" applyBorder="1"/>
    <xf numFmtId="10" fontId="4" fillId="4" borderId="6" xfId="0" applyNumberFormat="1" applyFont="1" applyFill="1" applyBorder="1"/>
    <xf numFmtId="10" fontId="4" fillId="4" borderId="7" xfId="0" applyNumberFormat="1" applyFont="1" applyFill="1" applyBorder="1"/>
    <xf numFmtId="43" fontId="5" fillId="0" borderId="0" xfId="0" applyNumberFormat="1" applyFont="1"/>
    <xf numFmtId="0" fontId="5" fillId="0" borderId="7" xfId="0" applyFont="1" applyBorder="1"/>
    <xf numFmtId="0" fontId="4" fillId="4" borderId="6" xfId="0" applyFont="1" applyFill="1" applyBorder="1"/>
    <xf numFmtId="43" fontId="4" fillId="4" borderId="6" xfId="0" applyNumberFormat="1" applyFont="1" applyFill="1" applyBorder="1"/>
    <xf numFmtId="0" fontId="5" fillId="0" borderId="9" xfId="0" applyFont="1" applyBorder="1"/>
    <xf numFmtId="0" fontId="4" fillId="0" borderId="6" xfId="0" applyFont="1" applyBorder="1"/>
    <xf numFmtId="166" fontId="5" fillId="0" borderId="5" xfId="0" applyNumberFormat="1" applyFont="1" applyBorder="1"/>
    <xf numFmtId="165" fontId="5" fillId="0" borderId="6" xfId="0" applyNumberFormat="1" applyFont="1" applyBorder="1"/>
    <xf numFmtId="0" fontId="4" fillId="0" borderId="11" xfId="0" applyFont="1" applyBorder="1"/>
    <xf numFmtId="0" fontId="4" fillId="0" borderId="12" xfId="0" applyFont="1" applyBorder="1"/>
    <xf numFmtId="166" fontId="4" fillId="0" borderId="12" xfId="0" applyNumberFormat="1" applyFont="1" applyBorder="1"/>
    <xf numFmtId="43" fontId="4" fillId="0" borderId="12" xfId="0" applyNumberFormat="1" applyFont="1" applyBorder="1"/>
    <xf numFmtId="0" fontId="4" fillId="0" borderId="14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3" fontId="4" fillId="0" borderId="16" xfId="0" applyNumberFormat="1" applyFont="1" applyBorder="1" applyAlignment="1">
      <alignment horizontal="center"/>
    </xf>
    <xf numFmtId="43" fontId="4" fillId="0" borderId="15" xfId="0" applyNumberFormat="1" applyFont="1" applyBorder="1" applyAlignment="1">
      <alignment horizontal="center"/>
    </xf>
    <xf numFmtId="166" fontId="4" fillId="4" borderId="12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10" fillId="0" borderId="18" xfId="0" applyFont="1" applyBorder="1"/>
    <xf numFmtId="0" fontId="5" fillId="0" borderId="19" xfId="0" applyFont="1" applyBorder="1"/>
    <xf numFmtId="43" fontId="4" fillId="0" borderId="0" xfId="0" applyNumberFormat="1" applyFont="1"/>
    <xf numFmtId="0" fontId="4" fillId="5" borderId="14" xfId="0" applyFont="1" applyFill="1" applyBorder="1"/>
    <xf numFmtId="166" fontId="4" fillId="0" borderId="0" xfId="0" applyNumberFormat="1" applyFont="1"/>
    <xf numFmtId="0" fontId="4" fillId="4" borderId="11" xfId="0" applyFont="1" applyFill="1" applyBorder="1"/>
    <xf numFmtId="166" fontId="11" fillId="0" borderId="6" xfId="0" applyNumberFormat="1" applyFont="1" applyBorder="1"/>
    <xf numFmtId="166" fontId="12" fillId="4" borderId="12" xfId="0" applyNumberFormat="1" applyFont="1" applyFill="1" applyBorder="1"/>
    <xf numFmtId="3" fontId="13" fillId="0" borderId="0" xfId="0" applyNumberFormat="1" applyFont="1"/>
    <xf numFmtId="166" fontId="5" fillId="0" borderId="0" xfId="0" applyNumberFormat="1" applyFont="1"/>
    <xf numFmtId="0" fontId="5" fillId="0" borderId="14" xfId="0" applyFont="1" applyBorder="1"/>
    <xf numFmtId="167" fontId="5" fillId="0" borderId="15" xfId="0" applyNumberFormat="1" applyFont="1" applyBorder="1"/>
    <xf numFmtId="3" fontId="14" fillId="0" borderId="15" xfId="0" applyNumberFormat="1" applyFont="1" applyBorder="1"/>
    <xf numFmtId="166" fontId="5" fillId="4" borderId="6" xfId="0" applyNumberFormat="1" applyFont="1" applyFill="1" applyBorder="1"/>
    <xf numFmtId="0" fontId="5" fillId="0" borderId="11" xfId="0" applyFont="1" applyBorder="1"/>
    <xf numFmtId="10" fontId="9" fillId="0" borderId="0" xfId="0" applyNumberFormat="1" applyFont="1"/>
    <xf numFmtId="0" fontId="10" fillId="0" borderId="0" xfId="0" applyFont="1"/>
    <xf numFmtId="0" fontId="7" fillId="3" borderId="0" xfId="0" applyFont="1" applyFill="1"/>
    <xf numFmtId="3" fontId="14" fillId="0" borderId="0" xfId="0" applyNumberFormat="1" applyFont="1"/>
    <xf numFmtId="0" fontId="15" fillId="0" borderId="6" xfId="0" applyFont="1" applyBorder="1"/>
    <xf numFmtId="0" fontId="16" fillId="4" borderId="11" xfId="0" applyFont="1" applyFill="1" applyBorder="1"/>
    <xf numFmtId="43" fontId="15" fillId="0" borderId="6" xfId="0" applyNumberFormat="1" applyFont="1" applyBorder="1"/>
    <xf numFmtId="10" fontId="15" fillId="4" borderId="6" xfId="0" applyNumberFormat="1" applyFont="1" applyFill="1" applyBorder="1"/>
    <xf numFmtId="1" fontId="15" fillId="4" borderId="6" xfId="0" applyNumberFormat="1" applyFont="1" applyFill="1" applyBorder="1"/>
    <xf numFmtId="0" fontId="16" fillId="0" borderId="7" xfId="0" applyFont="1" applyBorder="1" applyAlignment="1">
      <alignment horizontal="right"/>
    </xf>
    <xf numFmtId="166" fontId="16" fillId="4" borderId="13" xfId="0" applyNumberFormat="1" applyFont="1" applyFill="1" applyBorder="1"/>
    <xf numFmtId="0" fontId="17" fillId="0" borderId="9" xfId="0" applyFont="1" applyBorder="1"/>
    <xf numFmtId="166" fontId="16" fillId="4" borderId="6" xfId="0" applyNumberFormat="1" applyFont="1" applyFill="1" applyBorder="1"/>
    <xf numFmtId="0" fontId="17" fillId="0" borderId="6" xfId="0" applyFont="1" applyBorder="1"/>
    <xf numFmtId="0" fontId="16" fillId="0" borderId="6" xfId="0" applyFont="1" applyBorder="1" applyAlignment="1">
      <alignment horizontal="right"/>
    </xf>
    <xf numFmtId="166" fontId="16" fillId="4" borderId="12" xfId="0" applyNumberFormat="1" applyFont="1" applyFill="1" applyBorder="1"/>
    <xf numFmtId="0" fontId="4" fillId="0" borderId="8" xfId="0" applyFont="1" applyBorder="1" applyAlignment="1">
      <alignment horizontal="right"/>
    </xf>
    <xf numFmtId="166" fontId="4" fillId="4" borderId="20" xfId="0" applyNumberFormat="1" applyFont="1" applyFill="1" applyBorder="1"/>
    <xf numFmtId="165" fontId="18" fillId="0" borderId="5" xfId="0" applyNumberFormat="1" applyFont="1" applyBorder="1"/>
    <xf numFmtId="43" fontId="18" fillId="0" borderId="6" xfId="0" applyNumberFormat="1" applyFont="1" applyBorder="1"/>
    <xf numFmtId="43" fontId="18" fillId="4" borderId="6" xfId="0" applyNumberFormat="1" applyFont="1" applyFill="1" applyBorder="1"/>
    <xf numFmtId="43" fontId="19" fillId="4" borderId="6" xfId="0" applyNumberFormat="1" applyFont="1" applyFill="1" applyBorder="1"/>
    <xf numFmtId="166" fontId="19" fillId="4" borderId="6" xfId="0" applyNumberFormat="1" applyFont="1" applyFill="1" applyBorder="1"/>
    <xf numFmtId="166" fontId="18" fillId="4" borderId="12" xfId="0" applyNumberFormat="1" applyFont="1" applyFill="1" applyBorder="1"/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165" fontId="19" fillId="0" borderId="5" xfId="0" applyNumberFormat="1" applyFont="1" applyBorder="1"/>
    <xf numFmtId="43" fontId="19" fillId="4" borderId="6" xfId="0" applyNumberFormat="1" applyFont="1" applyFill="1" applyBorder="1" applyAlignment="1">
      <alignment horizontal="right"/>
    </xf>
    <xf numFmtId="168" fontId="19" fillId="0" borderId="5" xfId="0" applyNumberFormat="1" applyFont="1" applyBorder="1"/>
    <xf numFmtId="10" fontId="19" fillId="4" borderId="6" xfId="0" applyNumberFormat="1" applyFont="1" applyFill="1" applyBorder="1"/>
    <xf numFmtId="2" fontId="19" fillId="4" borderId="6" xfId="0" applyNumberFormat="1" applyFont="1" applyFill="1" applyBorder="1"/>
    <xf numFmtId="1" fontId="19" fillId="4" borderId="6" xfId="0" applyNumberFormat="1" applyFont="1" applyFill="1" applyBorder="1"/>
    <xf numFmtId="167" fontId="19" fillId="4" borderId="6" xfId="0" applyNumberFormat="1" applyFont="1" applyFill="1" applyBorder="1"/>
    <xf numFmtId="0" fontId="19" fillId="0" borderId="6" xfId="0" applyFont="1" applyBorder="1"/>
    <xf numFmtId="0" fontId="19" fillId="0" borderId="7" xfId="0" applyFont="1" applyBorder="1"/>
    <xf numFmtId="166" fontId="18" fillId="4" borderId="13" xfId="0" applyNumberFormat="1" applyFont="1" applyFill="1" applyBorder="1"/>
    <xf numFmtId="166" fontId="19" fillId="0" borderId="7" xfId="0" applyNumberFormat="1" applyFont="1" applyBorder="1"/>
    <xf numFmtId="166" fontId="19" fillId="0" borderId="6" xfId="0" applyNumberFormat="1" applyFont="1" applyBorder="1"/>
    <xf numFmtId="2" fontId="19" fillId="0" borderId="6" xfId="0" applyNumberFormat="1" applyFont="1" applyBorder="1"/>
    <xf numFmtId="0" fontId="19" fillId="0" borderId="5" xfId="0" applyFont="1" applyBorder="1"/>
    <xf numFmtId="0" fontId="19" fillId="0" borderId="21" xfId="0" applyFont="1" applyBorder="1"/>
    <xf numFmtId="0" fontId="19" fillId="0" borderId="22" xfId="0" applyFont="1" applyBorder="1"/>
    <xf numFmtId="2" fontId="19" fillId="0" borderId="22" xfId="0" applyNumberFormat="1" applyFont="1" applyBorder="1"/>
    <xf numFmtId="43" fontId="19" fillId="0" borderId="22" xfId="0" applyNumberFormat="1" applyFont="1" applyBorder="1"/>
    <xf numFmtId="0" fontId="19" fillId="0" borderId="11" xfId="0" applyFont="1" applyBorder="1"/>
    <xf numFmtId="0" fontId="19" fillId="0" borderId="12" xfId="0" applyFont="1" applyBorder="1"/>
    <xf numFmtId="165" fontId="19" fillId="0" borderId="12" xfId="0" applyNumberFormat="1" applyFont="1" applyBorder="1"/>
    <xf numFmtId="0" fontId="8" fillId="0" borderId="0" xfId="0" applyFont="1"/>
    <xf numFmtId="3" fontId="14" fillId="0" borderId="16" xfId="0" applyNumberFormat="1" applyFont="1" applyBorder="1"/>
    <xf numFmtId="166" fontId="4" fillId="4" borderId="0" xfId="0" applyNumberFormat="1" applyFont="1" applyFill="1"/>
    <xf numFmtId="166" fontId="5" fillId="0" borderId="7" xfId="0" applyNumberFormat="1" applyFont="1" applyBorder="1"/>
    <xf numFmtId="166" fontId="4" fillId="4" borderId="23" xfId="0" applyNumberFormat="1" applyFont="1" applyFill="1" applyBorder="1"/>
    <xf numFmtId="166" fontId="16" fillId="0" borderId="6" xfId="0" applyNumberFormat="1" applyFont="1" applyBorder="1"/>
    <xf numFmtId="43" fontId="17" fillId="0" borderId="6" xfId="0" applyNumberFormat="1" applyFont="1" applyBorder="1"/>
    <xf numFmtId="165" fontId="17" fillId="0" borderId="6" xfId="0" applyNumberFormat="1" applyFont="1" applyBorder="1"/>
    <xf numFmtId="166" fontId="17" fillId="0" borderId="6" xfId="0" applyNumberFormat="1" applyFont="1" applyBorder="1"/>
    <xf numFmtId="43" fontId="4" fillId="4" borderId="7" xfId="0" applyNumberFormat="1" applyFont="1" applyFill="1" applyBorder="1"/>
    <xf numFmtId="43" fontId="4" fillId="0" borderId="13" xfId="0" applyNumberFormat="1" applyFont="1" applyBorder="1"/>
    <xf numFmtId="166" fontId="5" fillId="3" borderId="6" xfId="0" applyNumberFormat="1" applyFont="1" applyFill="1" applyBorder="1" applyAlignment="1">
      <alignment horizontal="center"/>
    </xf>
    <xf numFmtId="0" fontId="5" fillId="0" borderId="12" xfId="0" applyFont="1" applyBorder="1"/>
    <xf numFmtId="166" fontId="20" fillId="4" borderId="15" xfId="0" applyNumberFormat="1" applyFont="1" applyFill="1" applyBorder="1"/>
    <xf numFmtId="43" fontId="19" fillId="0" borderId="6" xfId="0" applyNumberFormat="1" applyFont="1" applyBorder="1"/>
    <xf numFmtId="0" fontId="4" fillId="0" borderId="24" xfId="0" applyFont="1" applyBorder="1"/>
    <xf numFmtId="0" fontId="4" fillId="0" borderId="1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27" xfId="0" applyFont="1" applyBorder="1"/>
    <xf numFmtId="166" fontId="4" fillId="6" borderId="27" xfId="0" applyNumberFormat="1" applyFont="1" applyFill="1" applyBorder="1"/>
    <xf numFmtId="10" fontId="9" fillId="4" borderId="27" xfId="0" applyNumberFormat="1" applyFont="1" applyFill="1" applyBorder="1"/>
    <xf numFmtId="43" fontId="4" fillId="6" borderId="27" xfId="0" applyNumberFormat="1" applyFont="1" applyFill="1" applyBorder="1"/>
    <xf numFmtId="10" fontId="9" fillId="6" borderId="27" xfId="0" applyNumberFormat="1" applyFont="1" applyFill="1" applyBorder="1"/>
    <xf numFmtId="10" fontId="4" fillId="6" borderId="27" xfId="0" applyNumberFormat="1" applyFont="1" applyFill="1" applyBorder="1"/>
    <xf numFmtId="166" fontId="5" fillId="0" borderId="27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0" borderId="30" xfId="0" applyFont="1" applyBorder="1"/>
    <xf numFmtId="10" fontId="9" fillId="4" borderId="30" xfId="0" applyNumberFormat="1" applyFont="1" applyFill="1" applyBorder="1"/>
    <xf numFmtId="10" fontId="9" fillId="6" borderId="30" xfId="0" applyNumberFormat="1" applyFont="1" applyFill="1" applyBorder="1"/>
    <xf numFmtId="166" fontId="5" fillId="0" borderId="30" xfId="0" applyNumberFormat="1" applyFont="1" applyBorder="1" applyAlignment="1">
      <alignment horizontal="center"/>
    </xf>
    <xf numFmtId="0" fontId="5" fillId="0" borderId="31" xfId="0" applyFont="1" applyBorder="1"/>
    <xf numFmtId="0" fontId="4" fillId="0" borderId="33" xfId="0" applyFont="1" applyBorder="1" applyAlignment="1">
      <alignment horizontal="center"/>
    </xf>
    <xf numFmtId="0" fontId="5" fillId="0" borderId="32" xfId="0" applyFont="1" applyBorder="1"/>
    <xf numFmtId="0" fontId="5" fillId="0" borderId="34" xfId="0" applyFont="1" applyBorder="1"/>
    <xf numFmtId="166" fontId="4" fillId="4" borderId="13" xfId="0" applyNumberFormat="1" applyFont="1" applyFill="1" applyBorder="1"/>
    <xf numFmtId="0" fontId="4" fillId="0" borderId="35" xfId="0" applyFont="1" applyBorder="1" applyAlignment="1">
      <alignment horizontal="center"/>
    </xf>
    <xf numFmtId="166" fontId="20" fillId="4" borderId="16" xfId="0" applyNumberFormat="1" applyFont="1" applyFill="1" applyBorder="1"/>
    <xf numFmtId="166" fontId="19" fillId="4" borderId="7" xfId="0" applyNumberFormat="1" applyFont="1" applyFill="1" applyBorder="1"/>
    <xf numFmtId="166" fontId="5" fillId="0" borderId="27" xfId="0" applyNumberFormat="1" applyFont="1" applyBorder="1"/>
    <xf numFmtId="0" fontId="19" fillId="0" borderId="27" xfId="0" applyFont="1" applyBorder="1"/>
    <xf numFmtId="43" fontId="4" fillId="0" borderId="36" xfId="0" applyNumberFormat="1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43" fontId="18" fillId="4" borderId="7" xfId="0" applyNumberFormat="1" applyFont="1" applyFill="1" applyBorder="1"/>
    <xf numFmtId="43" fontId="19" fillId="4" borderId="7" xfId="0" applyNumberFormat="1" applyFont="1" applyFill="1" applyBorder="1"/>
    <xf numFmtId="2" fontId="19" fillId="0" borderId="7" xfId="0" applyNumberFormat="1" applyFont="1" applyBorder="1"/>
    <xf numFmtId="43" fontId="19" fillId="4" borderId="7" xfId="0" applyNumberFormat="1" applyFont="1" applyFill="1" applyBorder="1" applyAlignment="1">
      <alignment horizontal="right"/>
    </xf>
    <xf numFmtId="10" fontId="19" fillId="4" borderId="7" xfId="0" applyNumberFormat="1" applyFont="1" applyFill="1" applyBorder="1"/>
    <xf numFmtId="2" fontId="19" fillId="4" borderId="7" xfId="0" applyNumberFormat="1" applyFont="1" applyFill="1" applyBorder="1"/>
    <xf numFmtId="165" fontId="19" fillId="0" borderId="13" xfId="0" applyNumberFormat="1" applyFont="1" applyBorder="1"/>
    <xf numFmtId="43" fontId="19" fillId="4" borderId="27" xfId="0" applyNumberFormat="1" applyFont="1" applyFill="1" applyBorder="1" applyAlignment="1">
      <alignment horizontal="right"/>
    </xf>
    <xf numFmtId="0" fontId="15" fillId="0" borderId="7" xfId="0" applyFont="1" applyBorder="1"/>
    <xf numFmtId="0" fontId="4" fillId="0" borderId="37" xfId="0" applyFont="1" applyBorder="1" applyAlignment="1">
      <alignment horizontal="right"/>
    </xf>
    <xf numFmtId="0" fontId="5" fillId="0" borderId="37" xfId="0" applyFont="1" applyBorder="1"/>
    <xf numFmtId="166" fontId="4" fillId="4" borderId="37" xfId="0" applyNumberFormat="1" applyFont="1" applyFill="1" applyBorder="1"/>
    <xf numFmtId="0" fontId="15" fillId="0" borderId="37" xfId="0" applyFont="1" applyBorder="1"/>
    <xf numFmtId="166" fontId="16" fillId="4" borderId="37" xfId="0" applyNumberFormat="1" applyFont="1" applyFill="1" applyBorder="1"/>
    <xf numFmtId="166" fontId="4" fillId="4" borderId="38" xfId="0" applyNumberFormat="1" applyFont="1" applyFill="1" applyBorder="1"/>
    <xf numFmtId="0" fontId="4" fillId="0" borderId="27" xfId="0" applyFont="1" applyBorder="1" applyAlignment="1">
      <alignment horizontal="right"/>
    </xf>
    <xf numFmtId="166" fontId="4" fillId="4" borderId="27" xfId="0" applyNumberFormat="1" applyFont="1" applyFill="1" applyBorder="1"/>
    <xf numFmtId="0" fontId="15" fillId="0" borderId="27" xfId="0" applyFont="1" applyBorder="1"/>
    <xf numFmtId="166" fontId="16" fillId="4" borderId="27" xfId="0" applyNumberFormat="1" applyFont="1" applyFill="1" applyBorder="1"/>
    <xf numFmtId="0" fontId="5" fillId="0" borderId="39" xfId="0" applyFont="1" applyBorder="1"/>
    <xf numFmtId="0" fontId="0" fillId="0" borderId="18" xfId="0" applyBorder="1"/>
    <xf numFmtId="166" fontId="4" fillId="4" borderId="40" xfId="0" applyNumberFormat="1" applyFont="1" applyFill="1" applyBorder="1"/>
    <xf numFmtId="0" fontId="18" fillId="0" borderId="41" xfId="0" applyFont="1" applyBorder="1" applyAlignment="1">
      <alignment horizontal="center"/>
    </xf>
    <xf numFmtId="0" fontId="5" fillId="0" borderId="43" xfId="0" applyFont="1" applyBorder="1"/>
    <xf numFmtId="0" fontId="0" fillId="0" borderId="42" xfId="0" applyBorder="1"/>
    <xf numFmtId="43" fontId="19" fillId="4" borderId="43" xfId="0" applyNumberFormat="1" applyFont="1" applyFill="1" applyBorder="1"/>
    <xf numFmtId="43" fontId="18" fillId="4" borderId="43" xfId="0" applyNumberFormat="1" applyFont="1" applyFill="1" applyBorder="1"/>
    <xf numFmtId="10" fontId="19" fillId="4" borderId="44" xfId="0" applyNumberFormat="1" applyFont="1" applyFill="1" applyBorder="1"/>
    <xf numFmtId="10" fontId="19" fillId="4" borderId="43" xfId="0" applyNumberFormat="1" applyFont="1" applyFill="1" applyBorder="1"/>
    <xf numFmtId="2" fontId="19" fillId="4" borderId="44" xfId="0" applyNumberFormat="1" applyFont="1" applyFill="1" applyBorder="1"/>
    <xf numFmtId="2" fontId="19" fillId="4" borderId="43" xfId="0" applyNumberFormat="1" applyFont="1" applyFill="1" applyBorder="1"/>
    <xf numFmtId="0" fontId="0" fillId="0" borderId="32" xfId="0" applyBorder="1"/>
    <xf numFmtId="0" fontId="0" fillId="0" borderId="44" xfId="0" applyBorder="1" applyAlignment="1">
      <alignment horizontal="right"/>
    </xf>
    <xf numFmtId="0" fontId="0" fillId="0" borderId="43" xfId="0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19" fillId="0" borderId="7" xfId="0" applyNumberFormat="1" applyFont="1" applyBorder="1" applyAlignment="1">
      <alignment horizontal="right"/>
    </xf>
    <xf numFmtId="43" fontId="5" fillId="0" borderId="6" xfId="1" applyFont="1" applyBorder="1"/>
    <xf numFmtId="43" fontId="5" fillId="0" borderId="7" xfId="1" applyFont="1" applyBorder="1"/>
    <xf numFmtId="43" fontId="5" fillId="0" borderId="27" xfId="1" applyFont="1" applyBorder="1"/>
    <xf numFmtId="43" fontId="5" fillId="0" borderId="30" xfId="1" applyFont="1" applyBorder="1"/>
    <xf numFmtId="43" fontId="4" fillId="0" borderId="45" xfId="0" applyNumberFormat="1" applyFont="1" applyBorder="1" applyAlignment="1">
      <alignment horizontal="center"/>
    </xf>
    <xf numFmtId="166" fontId="4" fillId="4" borderId="46" xfId="0" applyNumberFormat="1" applyFont="1" applyFill="1" applyBorder="1"/>
    <xf numFmtId="166" fontId="20" fillId="4" borderId="47" xfId="0" applyNumberFormat="1" applyFont="1" applyFill="1" applyBorder="1"/>
    <xf numFmtId="166" fontId="19" fillId="4" borderId="48" xfId="0" applyNumberFormat="1" applyFont="1" applyFill="1" applyBorder="1"/>
    <xf numFmtId="166" fontId="18" fillId="4" borderId="49" xfId="0" applyNumberFormat="1" applyFont="1" applyFill="1" applyBorder="1"/>
    <xf numFmtId="43" fontId="5" fillId="0" borderId="37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topLeftCell="A30" zoomScale="85" zoomScaleNormal="85" workbookViewId="0">
      <selection activeCell="L47" sqref="L47"/>
    </sheetView>
  </sheetViews>
  <sheetFormatPr defaultColWidth="14.453125" defaultRowHeight="14.5"/>
  <cols>
    <col min="1" max="1" width="59.54296875" customWidth="1"/>
    <col min="2" max="2" width="8.453125" hidden="1" customWidth="1"/>
    <col min="3" max="3" width="10.26953125" hidden="1" customWidth="1"/>
    <col min="4" max="5" width="12.453125" hidden="1" customWidth="1"/>
    <col min="6" max="6" width="12.453125" customWidth="1"/>
    <col min="7" max="7" width="12.26953125" customWidth="1"/>
    <col min="8" max="8" width="12.1796875" bestFit="1" customWidth="1"/>
    <col min="9" max="9" width="12.81640625" bestFit="1" customWidth="1"/>
    <col min="10" max="11" width="12" customWidth="1"/>
    <col min="12" max="12" width="12.26953125" customWidth="1"/>
    <col min="13" max="13" width="1.7265625" customWidth="1"/>
    <col min="14" max="14" width="42.54296875" customWidth="1"/>
    <col min="15" max="15" width="13.7265625" hidden="1" customWidth="1"/>
    <col min="16" max="16" width="10.453125" hidden="1" customWidth="1"/>
    <col min="17" max="17" width="13" hidden="1" customWidth="1"/>
    <col min="18" max="18" width="11.453125" hidden="1" customWidth="1"/>
    <col min="19" max="19" width="11.54296875" bestFit="1" customWidth="1"/>
    <col min="20" max="20" width="12" customWidth="1"/>
    <col min="21" max="21" width="12.54296875" bestFit="1" customWidth="1"/>
    <col min="22" max="23" width="12.453125" bestFit="1" customWidth="1"/>
  </cols>
  <sheetData>
    <row r="1" spans="1:24" ht="15" customHeight="1" thickBot="1">
      <c r="A1" s="191" t="s">
        <v>125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</row>
    <row r="2" spans="1:24" ht="14.25" customHeight="1" thickBot="1">
      <c r="A2" s="193" t="s">
        <v>0</v>
      </c>
      <c r="B2" s="194"/>
      <c r="C2" s="194"/>
      <c r="D2" s="194"/>
      <c r="E2" s="194"/>
      <c r="F2" s="194"/>
      <c r="G2" s="194"/>
      <c r="H2" s="194"/>
      <c r="I2" s="194"/>
      <c r="J2" s="195"/>
      <c r="K2" s="196"/>
      <c r="L2" s="1"/>
      <c r="M2" s="2"/>
      <c r="N2" s="197" t="s">
        <v>1</v>
      </c>
      <c r="O2" s="198"/>
      <c r="P2" s="198"/>
      <c r="Q2" s="198"/>
      <c r="R2" s="198"/>
      <c r="S2" s="198"/>
      <c r="T2" s="198"/>
      <c r="U2" s="198"/>
      <c r="V2" s="198"/>
      <c r="W2" s="199"/>
      <c r="X2" s="198"/>
    </row>
    <row r="3" spans="1:24" ht="12" customHeight="1">
      <c r="A3" s="128" t="s">
        <v>133</v>
      </c>
      <c r="B3" s="129" t="s">
        <v>3</v>
      </c>
      <c r="C3" s="129" t="s">
        <v>4</v>
      </c>
      <c r="D3" s="129" t="s">
        <v>5</v>
      </c>
      <c r="E3" s="129" t="s">
        <v>6</v>
      </c>
      <c r="F3" s="129" t="s">
        <v>7</v>
      </c>
      <c r="G3" s="129" t="s">
        <v>8</v>
      </c>
      <c r="H3" s="130" t="s">
        <v>9</v>
      </c>
      <c r="I3" s="130" t="s">
        <v>10</v>
      </c>
      <c r="J3" s="146" t="s">
        <v>135</v>
      </c>
      <c r="K3" s="140" t="s">
        <v>140</v>
      </c>
      <c r="L3" s="4"/>
      <c r="M3" s="2"/>
      <c r="N3" s="3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6" t="s">
        <v>7</v>
      </c>
      <c r="T3" s="72" t="s">
        <v>8</v>
      </c>
      <c r="U3" s="77" t="s">
        <v>9</v>
      </c>
      <c r="V3" s="79" t="s">
        <v>11</v>
      </c>
      <c r="W3" s="172" t="s">
        <v>137</v>
      </c>
      <c r="X3" s="166" t="s">
        <v>140</v>
      </c>
    </row>
    <row r="4" spans="1:24" ht="12" customHeight="1">
      <c r="A4" s="3" t="s">
        <v>12</v>
      </c>
      <c r="B4" s="7"/>
      <c r="C4" s="7"/>
      <c r="D4" s="8">
        <v>8745.19</v>
      </c>
      <c r="E4" s="116">
        <v>8398.86</v>
      </c>
      <c r="F4" s="201">
        <v>9634.6</v>
      </c>
      <c r="G4" s="201">
        <v>9547</v>
      </c>
      <c r="H4" s="201">
        <v>12357.7</v>
      </c>
      <c r="I4" s="202">
        <v>21852.600000000002</v>
      </c>
      <c r="J4" s="203">
        <v>20136.099999999999</v>
      </c>
      <c r="K4" s="204">
        <v>11686</v>
      </c>
      <c r="L4" s="4"/>
      <c r="M4" s="9"/>
      <c r="N4" s="10" t="s">
        <v>13</v>
      </c>
      <c r="O4" s="8"/>
      <c r="P4" s="8"/>
      <c r="Q4" s="11">
        <v>111.69</v>
      </c>
      <c r="R4" s="116">
        <v>111.69</v>
      </c>
      <c r="S4" s="201">
        <v>1185.8</v>
      </c>
      <c r="T4" s="201">
        <v>1185.8</v>
      </c>
      <c r="U4" s="201">
        <v>1185.8</v>
      </c>
      <c r="V4" s="202">
        <v>1185.8</v>
      </c>
      <c r="W4" s="203">
        <v>1185.8</v>
      </c>
      <c r="X4" s="210">
        <v>1185.8</v>
      </c>
    </row>
    <row r="5" spans="1:24" ht="12" customHeight="1">
      <c r="A5" s="10" t="s">
        <v>14</v>
      </c>
      <c r="B5" s="8"/>
      <c r="C5" s="8"/>
      <c r="D5" s="8">
        <v>55.4</v>
      </c>
      <c r="E5" s="116">
        <v>74.38</v>
      </c>
      <c r="F5" s="19">
        <v>931.1</v>
      </c>
      <c r="G5" s="19">
        <v>4269.5</v>
      </c>
      <c r="H5" s="19">
        <v>1712.2</v>
      </c>
      <c r="I5" s="28">
        <v>748.40000000000009</v>
      </c>
      <c r="J5" s="133">
        <v>795.2</v>
      </c>
      <c r="K5" s="141">
        <v>327.7</v>
      </c>
      <c r="L5" s="4"/>
      <c r="M5" s="4"/>
      <c r="N5" s="10" t="s">
        <v>15</v>
      </c>
      <c r="O5" s="8"/>
      <c r="P5" s="8"/>
      <c r="Q5" s="11">
        <v>2252.06</v>
      </c>
      <c r="R5" s="116">
        <v>2370.17</v>
      </c>
      <c r="S5" s="201">
        <v>17773.900000000001</v>
      </c>
      <c r="T5" s="201">
        <v>19234.8</v>
      </c>
      <c r="U5" s="201">
        <v>18681.900000000001</v>
      </c>
      <c r="V5" s="202">
        <v>17645.599999999999</v>
      </c>
      <c r="W5" s="203">
        <v>16123.2</v>
      </c>
      <c r="X5" s="210">
        <v>15001.5</v>
      </c>
    </row>
    <row r="6" spans="1:24" ht="12" customHeight="1">
      <c r="A6" s="12" t="s">
        <v>16</v>
      </c>
      <c r="B6" s="13">
        <f t="shared" ref="B6:I6" si="0">B4+B5</f>
        <v>0</v>
      </c>
      <c r="C6" s="13">
        <f t="shared" si="0"/>
        <v>0</v>
      </c>
      <c r="D6" s="13">
        <f t="shared" si="0"/>
        <v>8800.59</v>
      </c>
      <c r="E6" s="14">
        <f t="shared" si="0"/>
        <v>8473.24</v>
      </c>
      <c r="F6" s="13">
        <f t="shared" si="0"/>
        <v>10565.7</v>
      </c>
      <c r="G6" s="13">
        <f t="shared" si="0"/>
        <v>13816.5</v>
      </c>
      <c r="H6" s="13">
        <f>H4+H5</f>
        <v>14069.900000000001</v>
      </c>
      <c r="I6" s="14">
        <f t="shared" si="0"/>
        <v>22601.000000000004</v>
      </c>
      <c r="J6" s="134">
        <f>J4+J5</f>
        <v>20931.3</v>
      </c>
      <c r="K6" s="134">
        <f>K4+K5</f>
        <v>12013.7</v>
      </c>
      <c r="L6" s="4"/>
      <c r="M6" s="15"/>
      <c r="N6" s="12" t="s">
        <v>17</v>
      </c>
      <c r="O6" s="13">
        <f t="shared" ref="O6:X6" si="1">(O4+O5)</f>
        <v>0</v>
      </c>
      <c r="P6" s="13">
        <f t="shared" si="1"/>
        <v>0</v>
      </c>
      <c r="Q6" s="13">
        <f t="shared" si="1"/>
        <v>2363.75</v>
      </c>
      <c r="R6" s="14">
        <f t="shared" si="1"/>
        <v>2481.86</v>
      </c>
      <c r="S6" s="13">
        <f t="shared" si="1"/>
        <v>18959.7</v>
      </c>
      <c r="T6" s="75">
        <f>(T4+T5)</f>
        <v>20420.599999999999</v>
      </c>
      <c r="U6" s="75">
        <f>(U4+U5)</f>
        <v>19867.7</v>
      </c>
      <c r="V6" s="14">
        <f t="shared" si="1"/>
        <v>18831.399999999998</v>
      </c>
      <c r="W6" s="173">
        <f t="shared" si="1"/>
        <v>17309</v>
      </c>
      <c r="X6" s="168">
        <f t="shared" si="1"/>
        <v>16187.3</v>
      </c>
    </row>
    <row r="7" spans="1:24" ht="12" customHeight="1">
      <c r="A7" s="16" t="s">
        <v>18</v>
      </c>
      <c r="B7" s="17"/>
      <c r="C7" s="17" t="e">
        <f>(C6/B6-1)</f>
        <v>#DIV/0!</v>
      </c>
      <c r="D7" s="17" t="s">
        <v>19</v>
      </c>
      <c r="E7" s="18">
        <f t="shared" ref="E7:H7" si="2">(E6/D6-1)</f>
        <v>-3.7196369788843775E-2</v>
      </c>
      <c r="F7" s="17"/>
      <c r="G7" s="17">
        <f>(G6/F6-1)</f>
        <v>0.30767483460632028</v>
      </c>
      <c r="H7" s="17">
        <f t="shared" si="2"/>
        <v>1.8340390113270377E-2</v>
      </c>
      <c r="I7" s="18">
        <f>(I6/H6-1)</f>
        <v>0.60633693203221073</v>
      </c>
      <c r="J7" s="135">
        <f>(J6/I6-1)</f>
        <v>-7.3877262068050231E-2</v>
      </c>
      <c r="K7" s="142"/>
      <c r="L7" s="4"/>
      <c r="M7" s="4"/>
      <c r="N7" s="10" t="s">
        <v>20</v>
      </c>
      <c r="O7" s="8"/>
      <c r="P7" s="8"/>
      <c r="Q7" s="8"/>
      <c r="R7" s="116"/>
      <c r="S7" s="19">
        <v>-23.799999999999997</v>
      </c>
      <c r="T7" s="19">
        <v>65.900000000000006</v>
      </c>
      <c r="U7" s="19">
        <v>66.3</v>
      </c>
      <c r="V7" s="28">
        <v>63.7</v>
      </c>
      <c r="W7" s="133">
        <v>49.6</v>
      </c>
      <c r="X7" s="167">
        <v>181.4</v>
      </c>
    </row>
    <row r="8" spans="1:24" ht="12" customHeight="1">
      <c r="A8" s="16" t="s">
        <v>21</v>
      </c>
      <c r="B8" s="17"/>
      <c r="C8" s="17"/>
      <c r="D8" s="17"/>
      <c r="E8" s="18"/>
      <c r="F8" s="17"/>
      <c r="G8" s="17"/>
      <c r="H8" s="17"/>
      <c r="I8" s="18">
        <f>+((I6/F6)^(1/3)-1)</f>
        <v>0.28847637530090631</v>
      </c>
      <c r="J8" s="135">
        <f>+((J6/G6)^(1/3)-1)</f>
        <v>0.14850455066270429</v>
      </c>
      <c r="K8" s="142"/>
      <c r="L8" s="4"/>
      <c r="M8" s="4"/>
      <c r="N8" s="10" t="s">
        <v>22</v>
      </c>
      <c r="O8" s="8"/>
      <c r="P8" s="8"/>
      <c r="Q8" s="113">
        <v>3283.03</v>
      </c>
      <c r="R8" s="116">
        <v>3125.95</v>
      </c>
      <c r="S8" s="201">
        <v>5428.7</v>
      </c>
      <c r="T8" s="201">
        <v>5719.5</v>
      </c>
      <c r="U8" s="201">
        <v>4663.8</v>
      </c>
      <c r="V8" s="202">
        <v>5795.2</v>
      </c>
      <c r="W8" s="203">
        <v>1161.8</v>
      </c>
      <c r="X8" s="210">
        <v>1443.7</v>
      </c>
    </row>
    <row r="9" spans="1:24" ht="12" customHeight="1">
      <c r="A9" s="12" t="s">
        <v>23</v>
      </c>
      <c r="B9" s="13">
        <f t="shared" ref="B9:I9" si="3">SUM(B10:B16)</f>
        <v>0</v>
      </c>
      <c r="C9" s="13">
        <f t="shared" si="3"/>
        <v>0</v>
      </c>
      <c r="D9" s="13">
        <f t="shared" si="3"/>
        <v>7294.15</v>
      </c>
      <c r="E9" s="14">
        <f t="shared" si="3"/>
        <v>6714.4400000000005</v>
      </c>
      <c r="F9" s="13">
        <f t="shared" si="3"/>
        <v>6792.9999999999991</v>
      </c>
      <c r="G9" s="13">
        <f t="shared" si="3"/>
        <v>7411.9000000000024</v>
      </c>
      <c r="H9" s="13">
        <f t="shared" si="3"/>
        <v>10060.4</v>
      </c>
      <c r="I9" s="14">
        <f t="shared" si="3"/>
        <v>17224.5</v>
      </c>
      <c r="J9" s="136">
        <f>SUM(J10:J16)</f>
        <v>17226.899999999998</v>
      </c>
      <c r="K9" s="136">
        <f>SUM(K10:K16)</f>
        <v>9978.5999999999985</v>
      </c>
      <c r="L9" s="4"/>
      <c r="M9" s="4"/>
      <c r="N9" s="10" t="s">
        <v>24</v>
      </c>
      <c r="O9" s="8"/>
      <c r="P9" s="8"/>
      <c r="Q9" s="8">
        <v>1419.21</v>
      </c>
      <c r="R9" s="116">
        <v>1587.85</v>
      </c>
      <c r="S9" s="201">
        <v>22792.7</v>
      </c>
      <c r="T9" s="201">
        <v>20390.8</v>
      </c>
      <c r="U9" s="201">
        <v>24605.4</v>
      </c>
      <c r="V9" s="202">
        <v>27060.7</v>
      </c>
      <c r="W9" s="203">
        <v>41805</v>
      </c>
      <c r="X9" s="210">
        <v>43216.800000000003</v>
      </c>
    </row>
    <row r="10" spans="1:24" ht="12" customHeight="1">
      <c r="A10" s="10" t="s">
        <v>126</v>
      </c>
      <c r="B10" s="19"/>
      <c r="C10" s="19"/>
      <c r="D10" s="19">
        <v>2711.57</v>
      </c>
      <c r="E10" s="28">
        <v>2428.5300000000002</v>
      </c>
      <c r="F10" s="201">
        <v>3463.5</v>
      </c>
      <c r="G10" s="201">
        <v>5841.3</v>
      </c>
      <c r="H10" s="201">
        <v>7909.4000000000005</v>
      </c>
      <c r="I10" s="202">
        <v>11102.5</v>
      </c>
      <c r="J10" s="203">
        <v>12608.1</v>
      </c>
      <c r="K10" s="204">
        <v>9221.2000000000007</v>
      </c>
      <c r="L10" s="4"/>
      <c r="M10" s="4"/>
      <c r="N10" s="12" t="s">
        <v>25</v>
      </c>
      <c r="O10" s="13">
        <f t="shared" ref="O10:X10" si="4">(O8+O9)</f>
        <v>0</v>
      </c>
      <c r="P10" s="13">
        <f t="shared" si="4"/>
        <v>0</v>
      </c>
      <c r="Q10" s="13">
        <f t="shared" si="4"/>
        <v>4702.24</v>
      </c>
      <c r="R10" s="14">
        <f t="shared" si="4"/>
        <v>4713.7999999999993</v>
      </c>
      <c r="S10" s="13">
        <f>(S8+S9)</f>
        <v>28221.4</v>
      </c>
      <c r="T10" s="75">
        <f>(T8+T9)</f>
        <v>26110.3</v>
      </c>
      <c r="U10" s="75">
        <f t="shared" si="4"/>
        <v>29269.200000000001</v>
      </c>
      <c r="V10" s="14">
        <f>(V8+V9)</f>
        <v>32855.9</v>
      </c>
      <c r="W10" s="173">
        <f>(W8+W9)</f>
        <v>42966.8</v>
      </c>
      <c r="X10" s="168">
        <f t="shared" si="4"/>
        <v>44660.5</v>
      </c>
    </row>
    <row r="11" spans="1:24" ht="12" customHeight="1">
      <c r="A11" s="10" t="s">
        <v>127</v>
      </c>
      <c r="B11" s="19"/>
      <c r="C11" s="19"/>
      <c r="D11" s="19">
        <v>9.32</v>
      </c>
      <c r="E11" s="28">
        <v>0.68</v>
      </c>
      <c r="F11" s="19">
        <v>481.59999999999997</v>
      </c>
      <c r="G11" s="201">
        <v>1099.5</v>
      </c>
      <c r="H11" s="201">
        <v>2912.2000000000003</v>
      </c>
      <c r="I11" s="202">
        <v>2372.9</v>
      </c>
      <c r="J11" s="203">
        <v>3245.1</v>
      </c>
      <c r="K11" s="204">
        <v>1600.9</v>
      </c>
      <c r="L11" s="4"/>
      <c r="M11" s="4"/>
      <c r="N11" s="12" t="s">
        <v>26</v>
      </c>
      <c r="O11" s="13">
        <f>(O6+O8+O7+O56+O53+O54)</f>
        <v>0</v>
      </c>
      <c r="P11" s="13">
        <f>(P6+P8+P7+P56+P53+P54)</f>
        <v>0</v>
      </c>
      <c r="Q11" s="13">
        <f t="shared" ref="Q11:R11" si="5">Q6+Q10+Q7</f>
        <v>7065.99</v>
      </c>
      <c r="R11" s="14">
        <f t="shared" si="5"/>
        <v>7195.66</v>
      </c>
      <c r="S11" s="13">
        <f>S6+S8+S7+SUM(S53:S57)</f>
        <v>24927.600000000002</v>
      </c>
      <c r="T11" s="75">
        <f t="shared" ref="T11" si="6">T6+T8+T7+SUM(T53:T57)</f>
        <v>26702.2</v>
      </c>
      <c r="U11" s="75">
        <f>U6+U8+U7+SUM(U53:U57)</f>
        <v>24850.7</v>
      </c>
      <c r="V11" s="14">
        <f>V6+V8+V7+SUM(V53:V57)</f>
        <v>25103</v>
      </c>
      <c r="W11" s="173">
        <f>W6+W8+W7+SUM(W53:W57)</f>
        <v>19073.999999999996</v>
      </c>
      <c r="X11" s="168">
        <f>X6+X8+X7+SUM(X53:X57)</f>
        <v>18281.100000000002</v>
      </c>
    </row>
    <row r="12" spans="1:24" ht="12" customHeight="1">
      <c r="A12" s="10" t="s">
        <v>138</v>
      </c>
      <c r="B12" s="19"/>
      <c r="C12" s="19"/>
      <c r="D12" s="19">
        <v>51.72</v>
      </c>
      <c r="E12" s="28">
        <v>77.45</v>
      </c>
      <c r="F12" s="201">
        <v>3337.7</v>
      </c>
      <c r="G12" s="201">
        <v>2143.6000000000004</v>
      </c>
      <c r="H12" s="201">
        <v>3833.6000000000004</v>
      </c>
      <c r="I12" s="202">
        <v>2877.2000000000003</v>
      </c>
      <c r="J12" s="203">
        <v>8633.2999999999993</v>
      </c>
      <c r="K12" s="204">
        <v>677.8</v>
      </c>
      <c r="L12" s="4"/>
      <c r="M12" s="4"/>
      <c r="N12" s="3"/>
      <c r="O12" s="7"/>
      <c r="P12" s="7"/>
      <c r="Q12" s="7"/>
      <c r="R12" s="20"/>
      <c r="S12" s="7"/>
      <c r="T12" s="118"/>
      <c r="U12" s="76"/>
      <c r="V12" s="165"/>
      <c r="W12" s="174"/>
      <c r="X12" s="169"/>
    </row>
    <row r="13" spans="1:24" ht="12" customHeight="1">
      <c r="A13" s="10" t="s">
        <v>136</v>
      </c>
      <c r="B13" s="19"/>
      <c r="C13" s="19"/>
      <c r="D13" s="19"/>
      <c r="E13" s="28"/>
      <c r="F13" s="19"/>
      <c r="G13" s="19"/>
      <c r="H13" s="19"/>
      <c r="I13" s="28"/>
      <c r="J13" s="133">
        <v>3934.3</v>
      </c>
      <c r="K13" s="144">
        <v>0</v>
      </c>
      <c r="L13" s="4"/>
      <c r="M13" s="4"/>
      <c r="N13" s="10"/>
      <c r="O13" s="8"/>
      <c r="P13" s="8"/>
      <c r="Q13" s="8">
        <f t="shared" ref="Q13:R13" si="7">Q11-Q12</f>
        <v>7065.99</v>
      </c>
      <c r="R13" s="116">
        <f t="shared" si="7"/>
        <v>7195.66</v>
      </c>
      <c r="S13" s="21"/>
      <c r="T13" s="119"/>
      <c r="U13" s="76"/>
      <c r="V13" s="165"/>
      <c r="W13" s="174"/>
      <c r="X13" s="169"/>
    </row>
    <row r="14" spans="1:24" ht="12" customHeight="1">
      <c r="A14" s="10" t="s">
        <v>128</v>
      </c>
      <c r="B14" s="19"/>
      <c r="C14" s="19"/>
      <c r="D14" s="19">
        <v>646.37</v>
      </c>
      <c r="E14" s="28">
        <v>637.16999999999996</v>
      </c>
      <c r="F14" s="19">
        <v>-3354.2000000000003</v>
      </c>
      <c r="G14" s="19">
        <v>-5706.7999999999993</v>
      </c>
      <c r="H14" s="19">
        <v>-10050.700000000001</v>
      </c>
      <c r="I14" s="28">
        <v>-5996.7</v>
      </c>
      <c r="J14" s="133">
        <v>-19421.7</v>
      </c>
      <c r="K14" s="204">
        <v>-5520.8</v>
      </c>
      <c r="L14" s="4"/>
      <c r="M14" s="4"/>
      <c r="N14" s="22" t="s">
        <v>28</v>
      </c>
      <c r="O14" s="115"/>
      <c r="P14" s="115"/>
      <c r="Q14" s="23">
        <f t="shared" ref="Q14:R14" si="8">SUM(Q15:Q29)</f>
        <v>8028.05</v>
      </c>
      <c r="R14" s="117">
        <f t="shared" si="8"/>
        <v>8081.89</v>
      </c>
      <c r="S14" s="13">
        <f>SUM(S15:S29)</f>
        <v>10417.4</v>
      </c>
      <c r="T14" s="75">
        <f>SUM(T15:T28)</f>
        <v>8542.7999999999993</v>
      </c>
      <c r="U14" s="75">
        <f>SUM(U15:U29)</f>
        <v>10378.299999999999</v>
      </c>
      <c r="V14" s="14">
        <f>SUM(V15:V29)</f>
        <v>13889.2</v>
      </c>
      <c r="W14" s="173">
        <f>SUM(W15:W29)</f>
        <v>13247.400000000001</v>
      </c>
      <c r="X14" s="168">
        <f>SUM(X15:X29)</f>
        <v>14590.199999999997</v>
      </c>
    </row>
    <row r="15" spans="1:24" ht="12" customHeight="1">
      <c r="A15" s="10" t="s">
        <v>129</v>
      </c>
      <c r="B15" s="19"/>
      <c r="C15" s="19"/>
      <c r="D15" s="19"/>
      <c r="E15" s="28"/>
      <c r="F15" s="19">
        <v>1146.7</v>
      </c>
      <c r="G15" s="19">
        <v>1376.8000000000002</v>
      </c>
      <c r="H15" s="19">
        <v>1713.5</v>
      </c>
      <c r="I15" s="28">
        <v>2261.8000000000002</v>
      </c>
      <c r="J15" s="133">
        <v>2974</v>
      </c>
      <c r="K15" s="204">
        <v>1601.2</v>
      </c>
      <c r="L15" s="4"/>
      <c r="M15" s="4"/>
      <c r="N15" s="10" t="s">
        <v>29</v>
      </c>
      <c r="O15" s="19"/>
      <c r="P15" s="19"/>
      <c r="Q15" s="19">
        <v>6331.86</v>
      </c>
      <c r="R15" s="28">
        <v>6202.17</v>
      </c>
      <c r="S15" s="19">
        <v>667.30000000000007</v>
      </c>
      <c r="T15" s="19">
        <v>611.19999999999993</v>
      </c>
      <c r="U15" s="19">
        <v>840.8</v>
      </c>
      <c r="V15" s="202">
        <v>1448</v>
      </c>
      <c r="W15" s="203">
        <v>2182.6999999999998</v>
      </c>
      <c r="X15" s="210">
        <v>2199</v>
      </c>
    </row>
    <row r="16" spans="1:24" ht="12" customHeight="1">
      <c r="A16" s="10" t="s">
        <v>130</v>
      </c>
      <c r="B16" s="19"/>
      <c r="C16" s="19"/>
      <c r="D16" s="19">
        <v>3875.17</v>
      </c>
      <c r="E16" s="28">
        <v>3570.61</v>
      </c>
      <c r="F16" s="19">
        <v>1717.7</v>
      </c>
      <c r="G16" s="19">
        <v>2657.5</v>
      </c>
      <c r="H16" s="19">
        <v>3742.4</v>
      </c>
      <c r="I16" s="28">
        <v>4606.8</v>
      </c>
      <c r="J16" s="133">
        <v>5253.8</v>
      </c>
      <c r="K16" s="204">
        <v>2398.3000000000002</v>
      </c>
      <c r="L16" s="4"/>
      <c r="M16" s="4"/>
      <c r="N16" s="10" t="s">
        <v>30</v>
      </c>
      <c r="O16" s="19"/>
      <c r="P16" s="19"/>
      <c r="Q16" s="19">
        <v>70.209999999999994</v>
      </c>
      <c r="R16" s="28">
        <v>34.19</v>
      </c>
      <c r="S16" s="19">
        <v>0</v>
      </c>
      <c r="T16" s="19">
        <v>4.8</v>
      </c>
      <c r="U16" s="19">
        <v>8.2999999999999989</v>
      </c>
      <c r="V16" s="28">
        <v>22.799999999999997</v>
      </c>
      <c r="W16" s="133">
        <v>1</v>
      </c>
      <c r="X16" s="167">
        <v>0</v>
      </c>
    </row>
    <row r="17" spans="1:24" ht="12" customHeight="1">
      <c r="A17" s="12" t="s">
        <v>31</v>
      </c>
      <c r="B17" s="13">
        <f t="shared" ref="B17:H17" si="9">(B6-B9)</f>
        <v>0</v>
      </c>
      <c r="C17" s="13">
        <f t="shared" si="9"/>
        <v>0</v>
      </c>
      <c r="D17" s="13">
        <f t="shared" si="9"/>
        <v>1506.4400000000005</v>
      </c>
      <c r="E17" s="14">
        <f t="shared" si="9"/>
        <v>1758.7999999999993</v>
      </c>
      <c r="F17" s="13">
        <f t="shared" si="9"/>
        <v>3772.7000000000016</v>
      </c>
      <c r="G17" s="13">
        <f t="shared" si="9"/>
        <v>6404.5999999999976</v>
      </c>
      <c r="H17" s="13">
        <f t="shared" si="9"/>
        <v>4009.5000000000018</v>
      </c>
      <c r="I17" s="14">
        <f>(I6-I9)</f>
        <v>5376.5000000000036</v>
      </c>
      <c r="J17" s="134">
        <f>(J6-J9)</f>
        <v>3704.4000000000015</v>
      </c>
      <c r="K17" s="134">
        <f>(K6-K9)</f>
        <v>2035.1000000000022</v>
      </c>
      <c r="L17" s="4"/>
      <c r="M17" s="4"/>
      <c r="N17" s="10" t="s">
        <v>32</v>
      </c>
      <c r="O17" s="19"/>
      <c r="P17" s="19"/>
      <c r="Q17" s="19">
        <v>989.81</v>
      </c>
      <c r="R17" s="28">
        <v>980.37</v>
      </c>
      <c r="S17" s="19">
        <v>333.7</v>
      </c>
      <c r="T17" s="19">
        <v>257</v>
      </c>
      <c r="U17" s="19">
        <v>107.89999999999999</v>
      </c>
      <c r="V17" s="28">
        <v>105.9</v>
      </c>
      <c r="W17" s="133">
        <v>104.3</v>
      </c>
      <c r="X17" s="167">
        <v>103.5</v>
      </c>
    </row>
    <row r="18" spans="1:24" ht="12" customHeight="1">
      <c r="A18" s="16" t="s">
        <v>18</v>
      </c>
      <c r="B18" s="17"/>
      <c r="C18" s="17" t="e">
        <f>(C17/B17-1)</f>
        <v>#DIV/0!</v>
      </c>
      <c r="D18" s="17"/>
      <c r="E18" s="18">
        <f t="shared" ref="E18:I18" si="10">(E17/D17-1)</f>
        <v>0.16752077746209526</v>
      </c>
      <c r="F18" s="17"/>
      <c r="G18" s="17">
        <f t="shared" si="10"/>
        <v>0.69761709120788695</v>
      </c>
      <c r="H18" s="17">
        <f t="shared" si="10"/>
        <v>-0.37396558723417495</v>
      </c>
      <c r="I18" s="18">
        <f t="shared" si="10"/>
        <v>0.34094026686619316</v>
      </c>
      <c r="J18" s="135">
        <f>(J17/I17-1)</f>
        <v>-0.31100158095415253</v>
      </c>
      <c r="K18" s="142"/>
      <c r="L18" s="4"/>
      <c r="M18" s="4"/>
      <c r="N18" s="10" t="s">
        <v>33</v>
      </c>
      <c r="O18" s="19"/>
      <c r="P18" s="19"/>
      <c r="Q18" s="19">
        <v>39.56</v>
      </c>
      <c r="R18" s="28">
        <v>124.11</v>
      </c>
      <c r="S18" s="19">
        <v>0</v>
      </c>
      <c r="T18" s="19">
        <v>0</v>
      </c>
      <c r="U18" s="19">
        <v>0</v>
      </c>
      <c r="V18" s="28">
        <v>0</v>
      </c>
      <c r="W18" s="133">
        <v>0</v>
      </c>
      <c r="X18" s="167">
        <v>74.599999999999994</v>
      </c>
    </row>
    <row r="19" spans="1:24" ht="12" customHeight="1">
      <c r="A19" s="16" t="s">
        <v>21</v>
      </c>
      <c r="B19" s="17"/>
      <c r="C19" s="17"/>
      <c r="D19" s="17"/>
      <c r="E19" s="18"/>
      <c r="F19" s="17"/>
      <c r="G19" s="17"/>
      <c r="H19" s="17"/>
      <c r="I19" s="18">
        <f>+((I17/F17)^(1/3)-1)</f>
        <v>0.12533664000083466</v>
      </c>
      <c r="J19" s="137"/>
      <c r="K19" s="143"/>
      <c r="L19" s="4"/>
      <c r="M19" s="4"/>
      <c r="N19" s="10" t="s">
        <v>34</v>
      </c>
      <c r="O19" s="19"/>
      <c r="P19" s="19"/>
      <c r="Q19" s="19">
        <v>2.63</v>
      </c>
      <c r="R19" s="28">
        <v>2.75</v>
      </c>
      <c r="S19" s="19">
        <v>112.8</v>
      </c>
      <c r="T19" s="19">
        <v>95.3</v>
      </c>
      <c r="U19" s="19">
        <v>120.1</v>
      </c>
      <c r="V19" s="28">
        <v>73.7</v>
      </c>
      <c r="W19" s="133">
        <v>29.9</v>
      </c>
      <c r="X19" s="167">
        <v>26.6</v>
      </c>
    </row>
    <row r="20" spans="1:24" ht="12" customHeight="1">
      <c r="A20" s="12" t="s">
        <v>35</v>
      </c>
      <c r="B20" s="25" t="e">
        <f>(B17/B6)</f>
        <v>#DIV/0!</v>
      </c>
      <c r="C20" s="25" t="e">
        <f>(C17/C6)</f>
        <v>#DIV/0!</v>
      </c>
      <c r="D20" s="25">
        <f t="shared" ref="D20:J20" si="11">(D17/D4)</f>
        <v>0.17225926480728268</v>
      </c>
      <c r="E20" s="26">
        <f t="shared" si="11"/>
        <v>0.20940937222432557</v>
      </c>
      <c r="F20" s="25">
        <f t="shared" si="11"/>
        <v>0.39157826998526163</v>
      </c>
      <c r="G20" s="25">
        <f t="shared" si="11"/>
        <v>0.67084948151251678</v>
      </c>
      <c r="H20" s="25">
        <f t="shared" si="11"/>
        <v>0.3244535795495927</v>
      </c>
      <c r="I20" s="26">
        <f t="shared" si="11"/>
        <v>0.24603479677475462</v>
      </c>
      <c r="J20" s="138">
        <f t="shared" si="11"/>
        <v>0.18396809709923975</v>
      </c>
      <c r="K20" s="138">
        <f>(K17/K4)</f>
        <v>0.17414855382509004</v>
      </c>
      <c r="L20" s="4"/>
      <c r="M20" s="4"/>
      <c r="N20" s="10" t="s">
        <v>36</v>
      </c>
      <c r="O20" s="19"/>
      <c r="P20" s="19"/>
      <c r="Q20" s="19">
        <v>0.1</v>
      </c>
      <c r="R20" s="28">
        <v>0.1</v>
      </c>
      <c r="S20" s="19">
        <v>0</v>
      </c>
      <c r="T20" s="19">
        <v>29.900000000000002</v>
      </c>
      <c r="U20" s="19">
        <v>0</v>
      </c>
      <c r="V20" s="28">
        <v>0</v>
      </c>
      <c r="W20" s="133">
        <v>0</v>
      </c>
      <c r="X20" s="167">
        <v>0</v>
      </c>
    </row>
    <row r="21" spans="1:24" ht="12" customHeight="1">
      <c r="A21" s="10" t="s">
        <v>37</v>
      </c>
      <c r="B21" s="8"/>
      <c r="C21" s="8"/>
      <c r="D21" s="19">
        <v>283.08999999999997</v>
      </c>
      <c r="E21" s="28">
        <v>313.33999999999997</v>
      </c>
      <c r="F21" s="19">
        <v>203.79999999999998</v>
      </c>
      <c r="G21" s="19">
        <v>176.4</v>
      </c>
      <c r="H21" s="19">
        <v>171.29999999999998</v>
      </c>
      <c r="I21" s="28">
        <v>280.5</v>
      </c>
      <c r="J21" s="133">
        <v>349.6</v>
      </c>
      <c r="K21" s="141">
        <v>206.7</v>
      </c>
      <c r="L21" s="4"/>
      <c r="M21" s="27"/>
      <c r="N21" s="10" t="s">
        <v>38</v>
      </c>
      <c r="O21" s="19"/>
      <c r="P21" s="19"/>
      <c r="Q21" s="19"/>
      <c r="R21" s="28"/>
      <c r="S21" s="19" t="s">
        <v>27</v>
      </c>
      <c r="T21" s="19">
        <v>0</v>
      </c>
      <c r="U21" s="19">
        <v>0</v>
      </c>
      <c r="V21" s="28">
        <v>0</v>
      </c>
      <c r="W21" s="133" t="s">
        <v>27</v>
      </c>
      <c r="X21" s="167"/>
    </row>
    <row r="22" spans="1:24" ht="12" customHeight="1">
      <c r="A22" s="10" t="s">
        <v>39</v>
      </c>
      <c r="B22" s="8"/>
      <c r="C22" s="8"/>
      <c r="D22" s="19">
        <v>587.65</v>
      </c>
      <c r="E22" s="28">
        <v>550.75</v>
      </c>
      <c r="F22" s="19">
        <v>3570.6</v>
      </c>
      <c r="G22" s="19">
        <v>3318.5</v>
      </c>
      <c r="H22" s="19">
        <v>3596.9</v>
      </c>
      <c r="I22" s="28">
        <v>4342.0999999999995</v>
      </c>
      <c r="J22" s="133">
        <v>5547.8</v>
      </c>
      <c r="K22" s="204">
        <v>3294.8</v>
      </c>
      <c r="L22" s="4"/>
      <c r="M22" s="4"/>
      <c r="N22" s="10" t="s">
        <v>40</v>
      </c>
      <c r="O22" s="19"/>
      <c r="P22" s="19"/>
      <c r="Q22" s="19"/>
      <c r="R22" s="28"/>
      <c r="S22" s="19">
        <v>0</v>
      </c>
      <c r="T22" s="19">
        <v>0</v>
      </c>
      <c r="U22" s="19">
        <v>0</v>
      </c>
      <c r="V22" s="28">
        <v>0</v>
      </c>
      <c r="W22" s="133">
        <v>0</v>
      </c>
      <c r="X22" s="167">
        <v>0</v>
      </c>
    </row>
    <row r="23" spans="1:24" ht="12" customHeight="1">
      <c r="A23" s="10" t="s">
        <v>41</v>
      </c>
      <c r="B23" s="8"/>
      <c r="C23" s="8"/>
      <c r="D23" s="8"/>
      <c r="E23" s="116">
        <v>0</v>
      </c>
      <c r="F23" s="19">
        <v>-19.8</v>
      </c>
      <c r="G23" s="19">
        <v>-51.900000000000006</v>
      </c>
      <c r="H23" s="19">
        <v>313.09999999999997</v>
      </c>
      <c r="I23" s="28">
        <v>-71.5</v>
      </c>
      <c r="J23" s="133">
        <v>62.2</v>
      </c>
      <c r="K23" s="141">
        <v>-0.9</v>
      </c>
      <c r="L23" s="4"/>
      <c r="M23" s="4"/>
      <c r="N23" s="10" t="s">
        <v>42</v>
      </c>
      <c r="O23" s="19"/>
      <c r="P23" s="19"/>
      <c r="Q23" s="19">
        <v>177.35</v>
      </c>
      <c r="R23" s="28">
        <v>258.31</v>
      </c>
      <c r="S23" s="201">
        <v>1379.9</v>
      </c>
      <c r="T23" s="201">
        <v>820.40000000000009</v>
      </c>
      <c r="U23" s="201">
        <v>1040.3</v>
      </c>
      <c r="V23" s="28">
        <v>355.20000000000005</v>
      </c>
      <c r="W23" s="133">
        <v>397.2</v>
      </c>
      <c r="X23" s="167">
        <v>393</v>
      </c>
    </row>
    <row r="24" spans="1:24" ht="12" customHeight="1">
      <c r="A24" s="10" t="s">
        <v>43</v>
      </c>
      <c r="B24" s="8"/>
      <c r="C24" s="8"/>
      <c r="D24" s="8"/>
      <c r="E24" s="116">
        <v>0</v>
      </c>
      <c r="F24" s="8"/>
      <c r="G24" s="8"/>
      <c r="H24" s="124">
        <v>0</v>
      </c>
      <c r="I24" s="131"/>
      <c r="J24" s="139">
        <v>7.5</v>
      </c>
      <c r="K24" s="144">
        <v>0</v>
      </c>
      <c r="L24" s="4"/>
      <c r="M24" s="4"/>
      <c r="N24" s="10" t="s">
        <v>44</v>
      </c>
      <c r="O24" s="19"/>
      <c r="P24" s="19"/>
      <c r="Q24" s="19"/>
      <c r="R24" s="28"/>
      <c r="S24" s="19">
        <v>0.2</v>
      </c>
      <c r="T24" s="19">
        <v>82.300000000000011</v>
      </c>
      <c r="U24" s="201">
        <v>1041.3</v>
      </c>
      <c r="V24" s="202">
        <v>1145.9000000000001</v>
      </c>
      <c r="W24" s="133">
        <v>0</v>
      </c>
      <c r="X24" s="167">
        <v>0</v>
      </c>
    </row>
    <row r="25" spans="1:24" ht="12" customHeight="1">
      <c r="A25" s="12" t="s">
        <v>45</v>
      </c>
      <c r="B25" s="13">
        <f t="shared" ref="B25:E25" si="12">(B17-B21-B22+B23+B24)</f>
        <v>0</v>
      </c>
      <c r="C25" s="13">
        <f t="shared" si="12"/>
        <v>0</v>
      </c>
      <c r="D25" s="13">
        <f t="shared" si="12"/>
        <v>635.70000000000061</v>
      </c>
      <c r="E25" s="14">
        <f t="shared" si="12"/>
        <v>894.70999999999935</v>
      </c>
      <c r="F25" s="13">
        <f>(F17-F21-F22+F23+F24)</f>
        <v>-21.499999999998455</v>
      </c>
      <c r="G25" s="13">
        <f>G17-G21-G22+G23+G24</f>
        <v>2857.7999999999979</v>
      </c>
      <c r="H25" s="13">
        <f>H17-H21-H22+H23+H24</f>
        <v>554.40000000000146</v>
      </c>
      <c r="I25" s="14">
        <f>I17-I21-I22+I23+I24</f>
        <v>682.40000000000418</v>
      </c>
      <c r="J25" s="134">
        <f>J17-J21-J22+J23+J24</f>
        <v>-2123.2999999999988</v>
      </c>
      <c r="K25" s="134">
        <f>K17-K21-K22+K23+K24</f>
        <v>-1467.2999999999981</v>
      </c>
      <c r="L25" s="4"/>
      <c r="M25" s="4"/>
      <c r="N25" s="10" t="s">
        <v>46</v>
      </c>
      <c r="O25" s="19"/>
      <c r="P25" s="19"/>
      <c r="Q25" s="19">
        <v>232.21</v>
      </c>
      <c r="R25" s="28">
        <v>293.25</v>
      </c>
      <c r="S25" s="201">
        <v>3555.5</v>
      </c>
      <c r="T25" s="201">
        <v>3512.5</v>
      </c>
      <c r="U25" s="201">
        <v>3372.3</v>
      </c>
      <c r="V25" s="202">
        <v>4590.6000000000004</v>
      </c>
      <c r="W25" s="203">
        <v>5046.3999999999996</v>
      </c>
      <c r="X25" s="210">
        <v>5444.1</v>
      </c>
    </row>
    <row r="26" spans="1:24" ht="12" customHeight="1">
      <c r="A26" s="10" t="s">
        <v>47</v>
      </c>
      <c r="B26" s="8"/>
      <c r="C26" s="19"/>
      <c r="D26" s="113">
        <v>-0.76</v>
      </c>
      <c r="E26" s="28"/>
      <c r="F26" s="19">
        <v>21.5</v>
      </c>
      <c r="G26" s="19">
        <v>440.7</v>
      </c>
      <c r="H26" s="19">
        <v>563.69999999999993</v>
      </c>
      <c r="I26" s="28">
        <v>744.5</v>
      </c>
      <c r="J26" s="133">
        <v>39.299999999999997</v>
      </c>
      <c r="K26" s="141">
        <v>137.6</v>
      </c>
      <c r="L26" s="4"/>
      <c r="M26" s="4"/>
      <c r="N26" s="10" t="s">
        <v>48</v>
      </c>
      <c r="O26" s="19"/>
      <c r="P26" s="19"/>
      <c r="Q26" s="19">
        <v>120.16</v>
      </c>
      <c r="R26" s="28">
        <v>121.77</v>
      </c>
      <c r="S26" s="201">
        <v>1470.2</v>
      </c>
      <c r="T26" s="201">
        <v>1106.3</v>
      </c>
      <c r="U26" s="201">
        <v>1076.5</v>
      </c>
      <c r="V26" s="202">
        <v>2722.1</v>
      </c>
      <c r="W26" s="203">
        <v>1698.9</v>
      </c>
      <c r="X26" s="210">
        <v>1816.8</v>
      </c>
    </row>
    <row r="27" spans="1:24" ht="12" customHeight="1">
      <c r="A27" s="10" t="s">
        <v>49</v>
      </c>
      <c r="B27" s="8"/>
      <c r="C27" s="19"/>
      <c r="D27" s="19"/>
      <c r="E27" s="28"/>
      <c r="F27" s="19">
        <f>(-L26)*10</f>
        <v>0</v>
      </c>
      <c r="G27" s="19">
        <v>0</v>
      </c>
      <c r="H27" s="19">
        <v>0</v>
      </c>
      <c r="I27" s="28">
        <v>0</v>
      </c>
      <c r="J27" s="133">
        <v>0</v>
      </c>
      <c r="K27" s="141"/>
      <c r="L27" s="4"/>
      <c r="M27" s="4"/>
      <c r="N27" s="10" t="s">
        <v>50</v>
      </c>
      <c r="O27" s="19"/>
      <c r="P27" s="19"/>
      <c r="Q27" s="19">
        <v>0</v>
      </c>
      <c r="R27" s="28">
        <v>0</v>
      </c>
      <c r="S27" s="201">
        <v>2437.9</v>
      </c>
      <c r="T27" s="201">
        <v>1514.1</v>
      </c>
      <c r="U27" s="201">
        <v>2199.4</v>
      </c>
      <c r="V27" s="202">
        <v>2677.7</v>
      </c>
      <c r="W27" s="203">
        <v>2973.3</v>
      </c>
      <c r="X27" s="210">
        <v>3452.3</v>
      </c>
    </row>
    <row r="28" spans="1:24" ht="12" customHeight="1">
      <c r="A28" s="10" t="s">
        <v>51</v>
      </c>
      <c r="B28" s="8"/>
      <c r="C28" s="19"/>
      <c r="D28" s="113">
        <v>-46.77</v>
      </c>
      <c r="E28" s="28">
        <v>16.71</v>
      </c>
      <c r="F28" s="19">
        <v>-3.7</v>
      </c>
      <c r="G28" s="19">
        <v>941.5</v>
      </c>
      <c r="H28" s="19">
        <v>-674.5</v>
      </c>
      <c r="I28" s="28">
        <v>-482.1</v>
      </c>
      <c r="J28" s="133">
        <v>-333.4</v>
      </c>
      <c r="K28" s="141">
        <v>-489.5</v>
      </c>
      <c r="L28" s="4"/>
      <c r="M28" s="4"/>
      <c r="N28" s="10" t="s">
        <v>132</v>
      </c>
      <c r="O28" s="19"/>
      <c r="P28" s="19"/>
      <c r="Q28" s="19">
        <v>64.16</v>
      </c>
      <c r="R28" s="28">
        <v>64.87</v>
      </c>
      <c r="S28" s="19">
        <v>459.90000000000003</v>
      </c>
      <c r="T28" s="19">
        <v>509</v>
      </c>
      <c r="U28" s="19">
        <v>571.4</v>
      </c>
      <c r="V28" s="28">
        <v>747.30000000000007</v>
      </c>
      <c r="W28" s="133">
        <v>813.7</v>
      </c>
      <c r="X28" s="210">
        <v>1080.3</v>
      </c>
    </row>
    <row r="29" spans="1:24" ht="12" customHeight="1">
      <c r="A29" s="10" t="s">
        <v>52</v>
      </c>
      <c r="B29" s="8"/>
      <c r="C29" s="19"/>
      <c r="D29" s="19">
        <f t="shared" ref="D29:E29" si="13">SUM(D26:D28)</f>
        <v>-47.53</v>
      </c>
      <c r="E29" s="28">
        <f t="shared" si="13"/>
        <v>16.71</v>
      </c>
      <c r="F29" s="19">
        <f t="shared" ref="F29:K29" si="14">(SUM(F26:F28))</f>
        <v>17.8</v>
      </c>
      <c r="G29" s="19">
        <f t="shared" si="14"/>
        <v>1382.2</v>
      </c>
      <c r="H29" s="19">
        <f t="shared" si="14"/>
        <v>-110.80000000000007</v>
      </c>
      <c r="I29" s="28">
        <f t="shared" si="14"/>
        <v>262.39999999999998</v>
      </c>
      <c r="J29" s="133">
        <f t="shared" si="14"/>
        <v>-294.09999999999997</v>
      </c>
      <c r="K29" s="133">
        <f t="shared" si="14"/>
        <v>-351.9</v>
      </c>
      <c r="L29" s="4"/>
      <c r="M29" s="4"/>
      <c r="N29" s="10"/>
      <c r="O29" s="19"/>
      <c r="P29" s="19"/>
      <c r="Q29" s="19"/>
      <c r="R29" s="28"/>
      <c r="S29" s="19"/>
      <c r="T29" s="120"/>
      <c r="U29" s="67"/>
      <c r="V29" s="165"/>
      <c r="W29" s="174"/>
      <c r="X29" s="169"/>
    </row>
    <row r="30" spans="1:24" ht="12" customHeight="1">
      <c r="A30" s="16" t="s">
        <v>53</v>
      </c>
      <c r="B30" s="17">
        <v>0</v>
      </c>
      <c r="C30" s="17">
        <v>0</v>
      </c>
      <c r="D30" s="17">
        <f t="shared" ref="D30:F30" si="15">(D29/D25)</f>
        <v>-7.4767972313984507E-2</v>
      </c>
      <c r="E30" s="18">
        <f t="shared" si="15"/>
        <v>1.8676442646220578E-2</v>
      </c>
      <c r="F30" s="17">
        <f t="shared" si="15"/>
        <v>-0.82790697674424563</v>
      </c>
      <c r="G30" s="17">
        <f t="shared" ref="G30:I30" si="16">(G29/G25)</f>
        <v>0.48365875848554868</v>
      </c>
      <c r="H30" s="17">
        <f t="shared" si="16"/>
        <v>-0.19985569985569945</v>
      </c>
      <c r="I30" s="18">
        <f t="shared" si="16"/>
        <v>0.38452520515826255</v>
      </c>
      <c r="J30" s="137">
        <f>(J29/J25)</f>
        <v>0.13851080864691759</v>
      </c>
      <c r="K30" s="137">
        <f>(K29/K25)</f>
        <v>0.23982825598037241</v>
      </c>
      <c r="L30" s="4"/>
      <c r="M30" s="4"/>
      <c r="N30" s="12" t="s">
        <v>54</v>
      </c>
      <c r="O30" s="13">
        <f t="shared" ref="O30:V30" si="17">SUM(O31:O39)</f>
        <v>0</v>
      </c>
      <c r="P30" s="13">
        <f t="shared" si="17"/>
        <v>0</v>
      </c>
      <c r="Q30" s="13">
        <f t="shared" si="17"/>
        <v>2164.9699999999998</v>
      </c>
      <c r="R30" s="14">
        <f t="shared" si="17"/>
        <v>2254.4300000000003</v>
      </c>
      <c r="S30" s="13">
        <f t="shared" si="17"/>
        <v>73868.60000000002</v>
      </c>
      <c r="T30" s="75">
        <f>SUM(T31:T39)</f>
        <v>77136.5</v>
      </c>
      <c r="U30" s="75">
        <f t="shared" si="17"/>
        <v>90174.3</v>
      </c>
      <c r="V30" s="14">
        <f t="shared" si="17"/>
        <v>103377.90000000001</v>
      </c>
      <c r="W30" s="173">
        <f>SUM(W31:W39)</f>
        <v>129203.89999999998</v>
      </c>
      <c r="X30" s="168">
        <f>SUM(X31:X39)</f>
        <v>138760.5</v>
      </c>
    </row>
    <row r="31" spans="1:24" ht="12" customHeight="1">
      <c r="A31" s="12" t="s">
        <v>64</v>
      </c>
      <c r="B31" s="13">
        <f t="shared" ref="B31:C31" si="18">(B25-B26)</f>
        <v>0</v>
      </c>
      <c r="C31" s="13">
        <f t="shared" si="18"/>
        <v>0</v>
      </c>
      <c r="D31" s="13">
        <f t="shared" ref="D31:E31" si="19">D25-D29</f>
        <v>683.23000000000059</v>
      </c>
      <c r="E31" s="14">
        <f t="shared" si="19"/>
        <v>877.99999999999932</v>
      </c>
      <c r="F31" s="13">
        <f>F25-F29</f>
        <v>-39.299999999998455</v>
      </c>
      <c r="G31" s="13">
        <f t="shared" ref="G31:I31" si="20">(G25-G29)</f>
        <v>1475.5999999999979</v>
      </c>
      <c r="H31" s="13">
        <f t="shared" si="20"/>
        <v>665.20000000000152</v>
      </c>
      <c r="I31" s="14">
        <f t="shared" si="20"/>
        <v>420.00000000000421</v>
      </c>
      <c r="J31" s="134">
        <f>(J25-J29)</f>
        <v>-1829.1999999999989</v>
      </c>
      <c r="K31" s="134">
        <f>(K25-K29)</f>
        <v>-1115.3999999999983</v>
      </c>
      <c r="L31" s="4"/>
      <c r="M31" s="4"/>
      <c r="N31" s="10" t="s">
        <v>55</v>
      </c>
      <c r="O31" s="19"/>
      <c r="P31" s="19"/>
      <c r="Q31" s="19">
        <v>1273.1400000000001</v>
      </c>
      <c r="R31" s="28">
        <v>1264.5</v>
      </c>
      <c r="S31" s="201">
        <v>64115.3</v>
      </c>
      <c r="T31" s="201">
        <v>68195.899999999994</v>
      </c>
      <c r="U31" s="201">
        <v>76229.899999999994</v>
      </c>
      <c r="V31" s="202">
        <v>84650</v>
      </c>
      <c r="W31" s="203">
        <v>106754.7</v>
      </c>
      <c r="X31" s="210">
        <v>113287.6</v>
      </c>
    </row>
    <row r="32" spans="1:24" ht="12" customHeight="1">
      <c r="A32" s="12" t="s">
        <v>56</v>
      </c>
      <c r="B32" s="25">
        <v>0</v>
      </c>
      <c r="C32" s="25">
        <v>0</v>
      </c>
      <c r="D32" s="25">
        <f t="shared" ref="D32:K32" si="21">D31/D4</f>
        <v>7.8126375756272945E-2</v>
      </c>
      <c r="E32" s="26">
        <f t="shared" si="21"/>
        <v>0.10453799682337832</v>
      </c>
      <c r="F32" s="25">
        <f t="shared" si="21"/>
        <v>-4.0790484296180903E-3</v>
      </c>
      <c r="G32" s="25">
        <f t="shared" si="21"/>
        <v>0.15456164240075393</v>
      </c>
      <c r="H32" s="25">
        <f t="shared" si="21"/>
        <v>5.3828786910185673E-2</v>
      </c>
      <c r="I32" s="26">
        <f t="shared" si="21"/>
        <v>1.9219680953296365E-2</v>
      </c>
      <c r="J32" s="138">
        <f t="shared" si="21"/>
        <v>-9.0841821405336642E-2</v>
      </c>
      <c r="K32" s="138">
        <f>K31/K4</f>
        <v>-9.5447544069827001E-2</v>
      </c>
      <c r="L32" s="4"/>
      <c r="M32" s="4"/>
      <c r="N32" s="10" t="s">
        <v>40</v>
      </c>
      <c r="O32" s="19"/>
      <c r="P32" s="19"/>
      <c r="Q32" s="19"/>
      <c r="R32" s="28"/>
      <c r="S32" s="19">
        <v>0</v>
      </c>
      <c r="T32" s="19">
        <v>0</v>
      </c>
      <c r="U32" s="19">
        <v>0</v>
      </c>
      <c r="V32" s="28">
        <v>0</v>
      </c>
      <c r="W32" s="133">
        <v>0</v>
      </c>
      <c r="X32" s="167">
        <v>0</v>
      </c>
    </row>
    <row r="33" spans="1:24" ht="12" customHeight="1">
      <c r="A33" s="16" t="s">
        <v>21</v>
      </c>
      <c r="B33" s="25"/>
      <c r="C33" s="25"/>
      <c r="D33" s="25"/>
      <c r="E33" s="26"/>
      <c r="F33" s="17"/>
      <c r="G33" s="17"/>
      <c r="H33" s="17"/>
      <c r="I33" s="18">
        <f>+((I31/F31)^(1/3)-1)*(-1)</f>
        <v>3.202684251175925</v>
      </c>
      <c r="J33" s="135">
        <f>+((J31/G31)^(1/3)-1)*(-1)</f>
        <v>2.0742305902834781</v>
      </c>
      <c r="K33" s="142"/>
      <c r="L33" s="4"/>
      <c r="M33" s="4"/>
      <c r="N33" s="10" t="s">
        <v>57</v>
      </c>
      <c r="O33" s="19"/>
      <c r="P33" s="19"/>
      <c r="Q33" s="19">
        <v>524.36</v>
      </c>
      <c r="R33" s="28">
        <v>502.96</v>
      </c>
      <c r="S33" s="201">
        <v>3069.1000000000004</v>
      </c>
      <c r="T33" s="201">
        <v>2420.5</v>
      </c>
      <c r="U33" s="201">
        <v>5320.8</v>
      </c>
      <c r="V33" s="202">
        <v>4943.3</v>
      </c>
      <c r="W33" s="203">
        <v>4618.3999999999996</v>
      </c>
      <c r="X33" s="210">
        <v>6046.3</v>
      </c>
    </row>
    <row r="34" spans="1:24" ht="12" customHeight="1">
      <c r="A34" s="3" t="s">
        <v>67</v>
      </c>
      <c r="B34" s="32"/>
      <c r="C34" s="32"/>
      <c r="D34" s="32"/>
      <c r="E34" s="113">
        <v>87.07</v>
      </c>
      <c r="F34" s="19">
        <v>-14.1</v>
      </c>
      <c r="G34" s="19">
        <v>-15.2</v>
      </c>
      <c r="H34" s="19">
        <v>-31.9</v>
      </c>
      <c r="I34" s="28">
        <v>3.9000000000000004</v>
      </c>
      <c r="J34" s="133">
        <v>-32.799999999999997</v>
      </c>
      <c r="K34" s="141">
        <v>1.2</v>
      </c>
      <c r="L34" s="4"/>
      <c r="M34" s="4"/>
      <c r="N34" s="10" t="s">
        <v>58</v>
      </c>
      <c r="O34" s="19"/>
      <c r="P34" s="19"/>
      <c r="Q34" s="19">
        <v>54.46</v>
      </c>
      <c r="R34" s="28">
        <v>39.24</v>
      </c>
      <c r="S34" s="201">
        <v>1598.8</v>
      </c>
      <c r="T34" s="201">
        <v>2751.1000000000004</v>
      </c>
      <c r="U34" s="201">
        <v>3449.9</v>
      </c>
      <c r="V34" s="202">
        <v>9064</v>
      </c>
      <c r="W34" s="203">
        <v>6961.9</v>
      </c>
      <c r="X34" s="210">
        <v>6794</v>
      </c>
    </row>
    <row r="35" spans="1:24" ht="12" customHeight="1">
      <c r="A35" s="12" t="s">
        <v>69</v>
      </c>
      <c r="B35" s="29"/>
      <c r="C35" s="29"/>
      <c r="D35" s="30"/>
      <c r="E35" s="122" t="e">
        <f>SUM(#REF!+E34)</f>
        <v>#REF!</v>
      </c>
      <c r="F35" s="30">
        <f t="shared" ref="F35:I35" si="22">SUM(F31+F34)</f>
        <v>-53.399999999998457</v>
      </c>
      <c r="G35" s="30">
        <f t="shared" si="22"/>
        <v>1460.3999999999978</v>
      </c>
      <c r="H35" s="30">
        <f t="shared" si="22"/>
        <v>633.30000000000155</v>
      </c>
      <c r="I35" s="122">
        <f t="shared" si="22"/>
        <v>423.90000000000418</v>
      </c>
      <c r="J35" s="136">
        <f>SUM(J31+J34)</f>
        <v>-1861.9999999999989</v>
      </c>
      <c r="K35" s="136">
        <f>SUM(K31+K34)</f>
        <v>-1114.1999999999982</v>
      </c>
      <c r="L35" s="4"/>
      <c r="M35" s="4"/>
      <c r="N35" s="10" t="s">
        <v>59</v>
      </c>
      <c r="O35" s="19"/>
      <c r="P35" s="19"/>
      <c r="Q35" s="19">
        <v>47.33</v>
      </c>
      <c r="R35" s="28">
        <v>49.97</v>
      </c>
      <c r="S35" s="19">
        <v>43</v>
      </c>
      <c r="T35" s="19">
        <v>250.7</v>
      </c>
      <c r="U35" s="19">
        <v>123.6</v>
      </c>
      <c r="V35" s="28">
        <v>247.3</v>
      </c>
      <c r="W35" s="133">
        <v>355.4</v>
      </c>
      <c r="X35" s="167">
        <v>257.7</v>
      </c>
    </row>
    <row r="36" spans="1:24" ht="12" customHeight="1">
      <c r="A36" s="10"/>
      <c r="B36" s="34"/>
      <c r="C36" s="34"/>
      <c r="D36" s="34"/>
      <c r="E36" s="24"/>
      <c r="F36" s="34"/>
      <c r="G36" s="34"/>
      <c r="H36" s="19"/>
      <c r="I36" s="28"/>
      <c r="J36" s="133"/>
      <c r="K36" s="141"/>
      <c r="L36" s="4"/>
      <c r="M36" s="4"/>
      <c r="N36" s="10" t="s">
        <v>60</v>
      </c>
      <c r="O36" s="19"/>
      <c r="P36" s="19"/>
      <c r="Q36" s="19"/>
      <c r="R36" s="28"/>
      <c r="S36" s="19">
        <v>841.1</v>
      </c>
      <c r="T36" s="19">
        <v>841</v>
      </c>
      <c r="U36" s="19">
        <v>0</v>
      </c>
      <c r="V36" s="28">
        <v>0</v>
      </c>
      <c r="W36" s="133">
        <v>0</v>
      </c>
      <c r="X36" s="167">
        <v>0</v>
      </c>
    </row>
    <row r="37" spans="1:24" ht="12" customHeight="1">
      <c r="A37" s="3" t="s">
        <v>72</v>
      </c>
      <c r="B37" s="32"/>
      <c r="C37" s="7"/>
      <c r="D37" s="7"/>
      <c r="E37" s="20"/>
      <c r="F37" s="7"/>
      <c r="G37" s="7"/>
      <c r="H37" s="19"/>
      <c r="I37" s="28"/>
      <c r="J37" s="133"/>
      <c r="K37" s="141"/>
      <c r="L37" s="4"/>
      <c r="M37" s="4"/>
      <c r="N37" s="10" t="s">
        <v>61</v>
      </c>
      <c r="O37" s="19"/>
      <c r="P37" s="19"/>
      <c r="Q37" s="19">
        <v>97.08</v>
      </c>
      <c r="R37" s="28">
        <v>160.26</v>
      </c>
      <c r="S37" s="19">
        <v>522.70000000000005</v>
      </c>
      <c r="T37" s="19">
        <v>647.5</v>
      </c>
      <c r="U37" s="201">
        <v>1803.6000000000001</v>
      </c>
      <c r="V37" s="202">
        <v>1082.0999999999999</v>
      </c>
      <c r="W37" s="203">
        <v>1926.6</v>
      </c>
      <c r="X37" s="210">
        <v>2067</v>
      </c>
    </row>
    <row r="38" spans="1:24" ht="12" customHeight="1" thickBot="1">
      <c r="A38" s="35" t="s">
        <v>134</v>
      </c>
      <c r="B38" s="36"/>
      <c r="C38" s="37"/>
      <c r="D38" s="38"/>
      <c r="E38" s="123">
        <v>9.4</v>
      </c>
      <c r="F38" s="125">
        <v>-1.7000000000000002</v>
      </c>
      <c r="G38" s="125">
        <v>6.22</v>
      </c>
      <c r="H38" s="125">
        <v>2.8</v>
      </c>
      <c r="I38" s="132">
        <v>1.77</v>
      </c>
      <c r="J38" s="148">
        <v>-7.52</v>
      </c>
      <c r="K38" s="145">
        <v>-4.5999999999999996</v>
      </c>
      <c r="L38" s="4"/>
      <c r="M38" s="4"/>
      <c r="N38" s="10" t="s">
        <v>62</v>
      </c>
      <c r="O38" s="19"/>
      <c r="P38" s="19"/>
      <c r="Q38" s="19"/>
      <c r="R38" s="28"/>
      <c r="S38" s="19">
        <v>0</v>
      </c>
      <c r="T38" s="19">
        <v>0</v>
      </c>
      <c r="U38" s="19">
        <v>0</v>
      </c>
      <c r="V38" s="28">
        <v>0</v>
      </c>
      <c r="W38" s="133">
        <v>0</v>
      </c>
      <c r="X38" s="167"/>
    </row>
    <row r="39" spans="1:24" ht="12" customHeight="1">
      <c r="A39" s="4"/>
      <c r="B39" s="4"/>
      <c r="C39" s="4"/>
      <c r="D39" s="4"/>
      <c r="E39" s="4"/>
      <c r="F39" s="4"/>
      <c r="G39" s="4"/>
      <c r="H39" s="4"/>
      <c r="I39" s="4"/>
      <c r="J39" s="147"/>
      <c r="K39" s="4"/>
      <c r="L39" s="4"/>
      <c r="M39" s="4"/>
      <c r="N39" s="10" t="s">
        <v>63</v>
      </c>
      <c r="O39" s="19"/>
      <c r="P39" s="19"/>
      <c r="Q39" s="19">
        <v>168.6</v>
      </c>
      <c r="R39" s="28">
        <v>237.5</v>
      </c>
      <c r="S39" s="201">
        <v>3678.6000000000004</v>
      </c>
      <c r="T39" s="201">
        <v>2029.8</v>
      </c>
      <c r="U39" s="201">
        <v>3246.5</v>
      </c>
      <c r="V39" s="202">
        <v>3391.2</v>
      </c>
      <c r="W39" s="203">
        <v>8586.9</v>
      </c>
      <c r="X39" s="210">
        <v>10307.9</v>
      </c>
    </row>
    <row r="40" spans="1:24" ht="12" customHeight="1" thickBot="1">
      <c r="A40" s="2" t="s">
        <v>77</v>
      </c>
      <c r="B40" s="4"/>
      <c r="C40" s="4"/>
      <c r="D40" s="4"/>
      <c r="E40" s="4"/>
      <c r="F40" s="4"/>
      <c r="G40" s="4"/>
      <c r="H40" s="2"/>
      <c r="I40" s="2"/>
      <c r="J40" s="2"/>
      <c r="K40" s="2"/>
      <c r="L40" s="4"/>
      <c r="M40" s="4"/>
      <c r="N40" s="31"/>
      <c r="O40" s="4"/>
      <c r="P40" s="4"/>
      <c r="Q40" s="4"/>
      <c r="R40" s="4"/>
      <c r="S40" s="19">
        <v>0</v>
      </c>
      <c r="T40" s="19">
        <v>0</v>
      </c>
      <c r="U40" s="19">
        <v>0</v>
      </c>
      <c r="V40" s="28">
        <v>0</v>
      </c>
      <c r="W40" s="133">
        <v>0</v>
      </c>
      <c r="X40" s="167">
        <v>0</v>
      </c>
    </row>
    <row r="41" spans="1:24" ht="12" customHeight="1">
      <c r="A41" s="39" t="s">
        <v>78</v>
      </c>
      <c r="B41" s="40" t="s">
        <v>3</v>
      </c>
      <c r="C41" s="40" t="s">
        <v>4</v>
      </c>
      <c r="D41" s="40" t="s">
        <v>5</v>
      </c>
      <c r="E41" s="40" t="s">
        <v>6</v>
      </c>
      <c r="F41" s="40" t="s">
        <v>7</v>
      </c>
      <c r="G41" s="41" t="s">
        <v>8</v>
      </c>
      <c r="H41" s="42" t="s">
        <v>9</v>
      </c>
      <c r="I41" s="43" t="s">
        <v>11</v>
      </c>
      <c r="J41" s="42" t="s">
        <v>137</v>
      </c>
      <c r="K41" s="205" t="s">
        <v>140</v>
      </c>
      <c r="L41" s="4"/>
      <c r="M41" s="4"/>
      <c r="N41" s="10" t="s">
        <v>65</v>
      </c>
      <c r="O41" s="19"/>
      <c r="P41" s="19"/>
      <c r="Q41" s="19"/>
      <c r="R41" s="28"/>
      <c r="S41" s="19">
        <v>0</v>
      </c>
      <c r="T41" s="19">
        <v>555.6</v>
      </c>
      <c r="U41" s="19">
        <v>0</v>
      </c>
      <c r="V41" s="28">
        <v>0</v>
      </c>
      <c r="W41" s="133">
        <v>0</v>
      </c>
      <c r="X41" s="167">
        <v>0</v>
      </c>
    </row>
    <row r="42" spans="1:24" ht="12" customHeight="1">
      <c r="A42" s="3" t="s">
        <v>80</v>
      </c>
      <c r="B42" s="19"/>
      <c r="C42" s="19"/>
      <c r="D42" s="19">
        <v>20.010000000000002</v>
      </c>
      <c r="E42" s="19">
        <v>-559.33000000000004</v>
      </c>
      <c r="F42" s="19">
        <v>-298.09999999999997</v>
      </c>
      <c r="G42" s="8">
        <f>F47</f>
        <v>252.5000000000004</v>
      </c>
      <c r="H42" s="8">
        <f>G47</f>
        <v>1557.7999999999997</v>
      </c>
      <c r="I42" s="8">
        <f t="shared" ref="I42:K42" si="23">H47</f>
        <v>2548.6999999999998</v>
      </c>
      <c r="J42" s="116">
        <f t="shared" si="23"/>
        <v>8515.7999999999993</v>
      </c>
      <c r="K42" s="153">
        <f t="shared" si="23"/>
        <v>6006.9</v>
      </c>
      <c r="L42" s="4"/>
      <c r="M42" s="4"/>
      <c r="N42" s="31"/>
      <c r="O42" s="4"/>
      <c r="P42" s="4"/>
      <c r="Q42" s="4"/>
      <c r="R42" s="4"/>
      <c r="S42" s="19"/>
      <c r="T42" s="76"/>
      <c r="U42" s="76"/>
      <c r="V42" s="165"/>
      <c r="W42" s="174"/>
      <c r="X42" s="169"/>
    </row>
    <row r="43" spans="1:24" ht="12" customHeight="1">
      <c r="A43" s="3" t="s">
        <v>82</v>
      </c>
      <c r="B43" s="19"/>
      <c r="C43" s="19"/>
      <c r="D43" s="19">
        <v>1020.02</v>
      </c>
      <c r="E43" s="19">
        <v>940.03</v>
      </c>
      <c r="F43" s="19">
        <v>2441.9</v>
      </c>
      <c r="G43" s="19">
        <v>1336.5</v>
      </c>
      <c r="H43" s="19">
        <v>1451.9</v>
      </c>
      <c r="I43" s="19">
        <v>8963.9</v>
      </c>
      <c r="J43" s="116">
        <v>-5307.6</v>
      </c>
      <c r="K43" s="153">
        <v>2628.8</v>
      </c>
      <c r="L43" s="4"/>
      <c r="M43" s="4"/>
      <c r="N43" s="12" t="s">
        <v>66</v>
      </c>
      <c r="O43" s="13">
        <f t="shared" ref="O43:P43" si="24">SUM(O44:O46)</f>
        <v>0</v>
      </c>
      <c r="P43" s="13">
        <f t="shared" si="24"/>
        <v>0</v>
      </c>
      <c r="Q43" s="13">
        <f t="shared" ref="Q43:R43" si="25">SUM(Q44:Q49)</f>
        <v>2817.6</v>
      </c>
      <c r="R43" s="14">
        <f t="shared" si="25"/>
        <v>2859.28</v>
      </c>
      <c r="S43" s="13">
        <f t="shared" ref="S43:X43" si="26">SUM(S44:S50)</f>
        <v>36565.599999999999</v>
      </c>
      <c r="T43" s="75">
        <f t="shared" si="26"/>
        <v>39141.9</v>
      </c>
      <c r="U43" s="13">
        <f t="shared" si="26"/>
        <v>51096.499999999993</v>
      </c>
      <c r="V43" s="14">
        <f t="shared" si="26"/>
        <v>65103.4</v>
      </c>
      <c r="W43" s="175">
        <f t="shared" si="26"/>
        <v>81572.299999999988</v>
      </c>
      <c r="X43" s="170">
        <f t="shared" si="26"/>
        <v>91852.800000000003</v>
      </c>
    </row>
    <row r="44" spans="1:24" ht="12" customHeight="1">
      <c r="A44" s="10" t="s">
        <v>84</v>
      </c>
      <c r="B44" s="19"/>
      <c r="C44" s="19"/>
      <c r="D44" s="19">
        <v>-356.94</v>
      </c>
      <c r="E44" s="19">
        <v>-247</v>
      </c>
      <c r="F44" s="19">
        <v>238.79999999999998</v>
      </c>
      <c r="G44" s="19">
        <v>5254.5</v>
      </c>
      <c r="H44" s="19">
        <v>947.90000000000009</v>
      </c>
      <c r="I44" s="19">
        <v>129.19999999999999</v>
      </c>
      <c r="J44" s="116">
        <v>-736.4</v>
      </c>
      <c r="K44" s="153">
        <v>-340.2</v>
      </c>
      <c r="L44" s="4"/>
      <c r="M44" s="4"/>
      <c r="N44" s="33" t="s">
        <v>68</v>
      </c>
      <c r="O44" s="8"/>
      <c r="P44" s="8"/>
      <c r="Q44" s="8"/>
      <c r="R44" s="116"/>
      <c r="S44" s="8"/>
      <c r="T44" s="121"/>
      <c r="U44" s="76"/>
      <c r="V44" s="165"/>
      <c r="W44" s="174"/>
      <c r="X44" s="169"/>
    </row>
    <row r="45" spans="1:24" ht="12" customHeight="1">
      <c r="A45" s="10" t="s">
        <v>86</v>
      </c>
      <c r="B45" s="19"/>
      <c r="C45" s="19">
        <v>-213.01</v>
      </c>
      <c r="D45" s="19">
        <v>-213.01</v>
      </c>
      <c r="E45" s="19">
        <v>-213.01</v>
      </c>
      <c r="F45" s="19">
        <v>-2130.1</v>
      </c>
      <c r="G45" s="19">
        <v>-5285.7000000000007</v>
      </c>
      <c r="H45" s="19">
        <v>-1408.8999999999999</v>
      </c>
      <c r="I45" s="19">
        <v>-3126</v>
      </c>
      <c r="J45" s="116">
        <v>3535.1</v>
      </c>
      <c r="K45" s="153">
        <v>-2695.1</v>
      </c>
      <c r="L45" s="4"/>
      <c r="M45" s="4"/>
      <c r="N45" s="33" t="s">
        <v>70</v>
      </c>
      <c r="O45" s="8"/>
      <c r="P45" s="8"/>
      <c r="Q45" s="8">
        <v>0</v>
      </c>
      <c r="R45" s="116">
        <v>0</v>
      </c>
      <c r="S45" s="19">
        <v>71.8</v>
      </c>
      <c r="T45" s="19">
        <v>88.9</v>
      </c>
      <c r="U45" s="19">
        <v>45.5</v>
      </c>
      <c r="V45" s="28">
        <v>91.199999999999989</v>
      </c>
      <c r="W45" s="133">
        <v>114.1</v>
      </c>
      <c r="X45" s="167">
        <v>130.19999999999999</v>
      </c>
    </row>
    <row r="46" spans="1:24" ht="12" customHeight="1">
      <c r="A46" s="3" t="s">
        <v>88</v>
      </c>
      <c r="B46" s="19">
        <f t="shared" ref="B46:E46" si="27">+B43+B44+B45</f>
        <v>0</v>
      </c>
      <c r="C46" s="19">
        <f t="shared" si="27"/>
        <v>-213.01</v>
      </c>
      <c r="D46" s="19">
        <f t="shared" si="27"/>
        <v>450.06999999999994</v>
      </c>
      <c r="E46" s="19">
        <f t="shared" si="27"/>
        <v>480.02</v>
      </c>
      <c r="F46" s="19">
        <f>(F43+F44+F45)</f>
        <v>550.60000000000036</v>
      </c>
      <c r="G46" s="19">
        <f t="shared" ref="G46:I46" si="28">(G43+G44+G45)</f>
        <v>1305.2999999999993</v>
      </c>
      <c r="H46" s="19">
        <f t="shared" si="28"/>
        <v>990.90000000000032</v>
      </c>
      <c r="I46" s="19">
        <f t="shared" si="28"/>
        <v>5967.1</v>
      </c>
      <c r="J46" s="116">
        <f>(J43+J44+J45)</f>
        <v>-2508.9</v>
      </c>
      <c r="K46" s="153">
        <f>(K43+K44+K45)</f>
        <v>-406.49999999999955</v>
      </c>
      <c r="L46" s="4"/>
      <c r="M46" s="4"/>
      <c r="N46" s="33" t="s">
        <v>71</v>
      </c>
      <c r="O46" s="8"/>
      <c r="P46" s="8"/>
      <c r="Q46" s="8">
        <v>609.91</v>
      </c>
      <c r="R46" s="116">
        <v>705.82</v>
      </c>
      <c r="S46" s="201">
        <f>(8.39+548.44)*10</f>
        <v>5568.3</v>
      </c>
      <c r="T46" s="201">
        <v>4345.6000000000004</v>
      </c>
      <c r="U46" s="201">
        <v>4911.3</v>
      </c>
      <c r="V46" s="202">
        <v>5637.5</v>
      </c>
      <c r="W46" s="203">
        <v>6818.3</v>
      </c>
      <c r="X46" s="210">
        <v>7714.7</v>
      </c>
    </row>
    <row r="47" spans="1:24" ht="12" customHeight="1" thickBot="1">
      <c r="A47" s="35" t="s">
        <v>89</v>
      </c>
      <c r="B47" s="44">
        <f t="shared" ref="B47:E47" si="29">+B42+B46</f>
        <v>0</v>
      </c>
      <c r="C47" s="44">
        <f t="shared" si="29"/>
        <v>-213.01</v>
      </c>
      <c r="D47" s="44">
        <f t="shared" si="29"/>
        <v>470.07999999999993</v>
      </c>
      <c r="E47" s="44">
        <f t="shared" si="29"/>
        <v>-79.310000000000059</v>
      </c>
      <c r="F47" s="44">
        <f>+F42+F46</f>
        <v>252.5000000000004</v>
      </c>
      <c r="G47" s="44">
        <f t="shared" ref="G47:K47" si="30">G42+G46</f>
        <v>1557.7999999999997</v>
      </c>
      <c r="H47" s="44">
        <f t="shared" si="30"/>
        <v>2548.6999999999998</v>
      </c>
      <c r="I47" s="44">
        <f t="shared" si="30"/>
        <v>8515.7999999999993</v>
      </c>
      <c r="J47" s="149">
        <f t="shared" si="30"/>
        <v>6006.9</v>
      </c>
      <c r="K47" s="206">
        <f t="shared" si="30"/>
        <v>5600.4</v>
      </c>
      <c r="L47" s="4"/>
      <c r="M47" s="4"/>
      <c r="N47" s="33" t="s">
        <v>73</v>
      </c>
      <c r="O47" s="8"/>
      <c r="P47" s="8"/>
      <c r="Q47" s="8">
        <v>1538.76</v>
      </c>
      <c r="R47" s="116">
        <v>1490.11</v>
      </c>
      <c r="S47" s="19">
        <v>323.7</v>
      </c>
      <c r="T47" s="19">
        <v>184.60000000000002</v>
      </c>
      <c r="U47" s="19">
        <v>297</v>
      </c>
      <c r="V47" s="28">
        <v>294.10000000000002</v>
      </c>
      <c r="W47" s="133">
        <v>284.60000000000002</v>
      </c>
      <c r="X47" s="167">
        <v>387.1</v>
      </c>
    </row>
    <row r="48" spans="1:24" ht="12" customHeight="1" thickBot="1">
      <c r="A48" s="46"/>
      <c r="B48" s="47"/>
      <c r="C48" s="47"/>
      <c r="D48" s="47"/>
      <c r="E48" s="47"/>
      <c r="F48" s="48"/>
      <c r="G48" s="47"/>
      <c r="H48" s="47"/>
      <c r="I48" s="49"/>
      <c r="J48" s="4"/>
      <c r="K48" s="133"/>
      <c r="L48" s="4"/>
      <c r="M48" s="4"/>
      <c r="N48" s="33" t="s">
        <v>74</v>
      </c>
      <c r="O48" s="8"/>
      <c r="P48" s="8"/>
      <c r="Q48" s="8">
        <v>469.83</v>
      </c>
      <c r="R48" s="116">
        <v>445.82</v>
      </c>
      <c r="S48" s="19">
        <v>104.3</v>
      </c>
      <c r="T48" s="19">
        <v>113.3</v>
      </c>
      <c r="U48" s="19">
        <v>115.3</v>
      </c>
      <c r="V48" s="28">
        <v>185</v>
      </c>
      <c r="W48" s="133">
        <v>617.70000000000005</v>
      </c>
      <c r="X48" s="167">
        <v>609.5</v>
      </c>
    </row>
    <row r="49" spans="1:24" ht="12" customHeight="1" thickBot="1">
      <c r="A49" s="51" t="s">
        <v>91</v>
      </c>
      <c r="B49" s="40" t="s">
        <v>3</v>
      </c>
      <c r="C49" s="40" t="s">
        <v>4</v>
      </c>
      <c r="D49" s="40" t="s">
        <v>5</v>
      </c>
      <c r="E49" s="40" t="s">
        <v>6</v>
      </c>
      <c r="F49" s="40" t="s">
        <v>7</v>
      </c>
      <c r="G49" s="41" t="s">
        <v>8</v>
      </c>
      <c r="H49" s="41" t="s">
        <v>9</v>
      </c>
      <c r="I49" s="40" t="s">
        <v>11</v>
      </c>
      <c r="J49" s="150" t="s">
        <v>137</v>
      </c>
      <c r="K49" s="155" t="s">
        <v>140</v>
      </c>
      <c r="L49" s="4"/>
      <c r="M49" s="4"/>
      <c r="N49" s="33" t="s">
        <v>75</v>
      </c>
      <c r="O49" s="8"/>
      <c r="P49" s="8"/>
      <c r="Q49" s="8">
        <v>199.1</v>
      </c>
      <c r="R49" s="116">
        <v>217.53</v>
      </c>
      <c r="S49" s="201">
        <v>30490.5</v>
      </c>
      <c r="T49" s="201">
        <v>34396.199999999997</v>
      </c>
      <c r="U49" s="201">
        <v>45659.199999999997</v>
      </c>
      <c r="V49" s="202">
        <v>58593.2</v>
      </c>
      <c r="W49" s="203">
        <v>73673.7</v>
      </c>
      <c r="X49" s="210">
        <v>82837.8</v>
      </c>
    </row>
    <row r="50" spans="1:24" ht="12" customHeight="1">
      <c r="A50" s="12" t="s">
        <v>93</v>
      </c>
      <c r="B50" s="13" t="e">
        <f t="shared" ref="B50:E50" si="31">SUM(#REF!)</f>
        <v>#REF!</v>
      </c>
      <c r="C50" s="13" t="e">
        <f t="shared" si="31"/>
        <v>#REF!</v>
      </c>
      <c r="D50" s="13" t="e">
        <f t="shared" si="31"/>
        <v>#REF!</v>
      </c>
      <c r="E50" s="13" t="e">
        <f t="shared" si="31"/>
        <v>#REF!</v>
      </c>
      <c r="F50" s="13">
        <f t="shared" ref="F50:I50" si="32">F43</f>
        <v>2441.9</v>
      </c>
      <c r="G50" s="14">
        <f t="shared" si="32"/>
        <v>1336.5</v>
      </c>
      <c r="H50" s="14">
        <f t="shared" si="32"/>
        <v>1451.9</v>
      </c>
      <c r="I50" s="13">
        <f t="shared" si="32"/>
        <v>8963.9</v>
      </c>
      <c r="J50" s="14">
        <f>J43</f>
        <v>-5307.6</v>
      </c>
      <c r="K50" s="14">
        <f>K43</f>
        <v>2628.8</v>
      </c>
      <c r="L50" s="4"/>
      <c r="M50" s="4"/>
      <c r="N50" s="74" t="s">
        <v>131</v>
      </c>
      <c r="O50" s="4"/>
      <c r="P50" s="4"/>
      <c r="Q50" s="4"/>
      <c r="R50" s="4"/>
      <c r="S50" s="19">
        <v>7</v>
      </c>
      <c r="T50" s="19">
        <v>13.3</v>
      </c>
      <c r="U50" s="19">
        <v>68.2</v>
      </c>
      <c r="V50" s="28">
        <v>302.39999999999998</v>
      </c>
      <c r="W50" s="133">
        <v>63.9</v>
      </c>
      <c r="X50" s="167">
        <v>173.5</v>
      </c>
    </row>
    <row r="51" spans="1:24" ht="12" customHeight="1">
      <c r="A51" s="10" t="s">
        <v>95</v>
      </c>
      <c r="B51" s="54"/>
      <c r="C51" s="8">
        <f>-(P15-O15)</f>
        <v>0</v>
      </c>
      <c r="D51" s="8">
        <f>-261.33+3.88</f>
        <v>-257.45</v>
      </c>
      <c r="E51" s="8">
        <f>-156.85</f>
        <v>-156.85</v>
      </c>
      <c r="F51" s="103">
        <f>-(3.32-0.22)*10</f>
        <v>-30.999999999999996</v>
      </c>
      <c r="G51" s="102">
        <f>-(6.47-20.45)*10</f>
        <v>139.80000000000001</v>
      </c>
      <c r="H51" s="100">
        <f>-(29.58-24.59)*10</f>
        <v>-49.899999999999984</v>
      </c>
      <c r="I51" s="99">
        <f>-(54.49-0.66)*10</f>
        <v>-538.30000000000007</v>
      </c>
      <c r="J51" s="100">
        <f>-(43-2.19)*10</f>
        <v>-408.1</v>
      </c>
      <c r="K51" s="154">
        <f>-200.1+9.1</f>
        <v>-191</v>
      </c>
      <c r="L51" s="4"/>
      <c r="M51" s="4"/>
      <c r="N51" s="12" t="s">
        <v>76</v>
      </c>
      <c r="O51" s="13">
        <f t="shared" ref="O51:V51" si="33">(O30-O43-O9)</f>
        <v>0</v>
      </c>
      <c r="P51" s="13">
        <f t="shared" si="33"/>
        <v>0</v>
      </c>
      <c r="Q51" s="13">
        <f t="shared" si="33"/>
        <v>-2071.84</v>
      </c>
      <c r="R51" s="14">
        <f t="shared" si="33"/>
        <v>-2192.6999999999998</v>
      </c>
      <c r="S51" s="13">
        <f t="shared" si="33"/>
        <v>14510.300000000021</v>
      </c>
      <c r="T51" s="75">
        <f t="shared" si="33"/>
        <v>17603.8</v>
      </c>
      <c r="U51" s="75">
        <f t="shared" si="33"/>
        <v>14472.400000000009</v>
      </c>
      <c r="V51" s="14">
        <f t="shared" si="33"/>
        <v>11213.800000000007</v>
      </c>
      <c r="W51" s="173">
        <f>(W30-W43-W9)</f>
        <v>5826.5999999999913</v>
      </c>
      <c r="X51" s="168">
        <f>(X30-X43-X9)</f>
        <v>3690.8999999999942</v>
      </c>
    </row>
    <row r="52" spans="1:24" ht="12" customHeight="1" thickBot="1">
      <c r="A52" s="53" t="s">
        <v>96</v>
      </c>
      <c r="B52" s="55" t="e">
        <f t="shared" ref="B52:I52" si="34">SUM(B50:B51)</f>
        <v>#REF!</v>
      </c>
      <c r="C52" s="44" t="e">
        <f t="shared" si="34"/>
        <v>#REF!</v>
      </c>
      <c r="D52" s="44" t="e">
        <f t="shared" si="34"/>
        <v>#REF!</v>
      </c>
      <c r="E52" s="44" t="e">
        <f t="shared" si="34"/>
        <v>#REF!</v>
      </c>
      <c r="F52" s="86">
        <f t="shared" si="34"/>
        <v>2410.9</v>
      </c>
      <c r="G52" s="101">
        <f t="shared" si="34"/>
        <v>1476.3</v>
      </c>
      <c r="H52" s="101">
        <f t="shared" si="34"/>
        <v>1402</v>
      </c>
      <c r="I52" s="86">
        <f t="shared" si="34"/>
        <v>8425.6</v>
      </c>
      <c r="J52" s="101">
        <f>SUM(J50:J51)</f>
        <v>-5715.7000000000007</v>
      </c>
      <c r="K52" s="101">
        <f>SUM(K50:K51)</f>
        <v>2437.8000000000002</v>
      </c>
      <c r="L52" s="4"/>
      <c r="M52" s="4"/>
      <c r="N52" s="31"/>
      <c r="O52" s="4"/>
      <c r="P52" s="4"/>
      <c r="Q52" s="4"/>
      <c r="R52" s="4"/>
      <c r="S52" s="19"/>
      <c r="T52" s="76"/>
      <c r="U52" s="76"/>
      <c r="V52" s="165"/>
      <c r="W52" s="133"/>
      <c r="X52" s="167"/>
    </row>
    <row r="53" spans="1:24" ht="12" customHeight="1">
      <c r="A53" s="4" t="s">
        <v>98</v>
      </c>
      <c r="B53" s="4"/>
      <c r="C53" s="4"/>
      <c r="D53" s="4"/>
      <c r="E53" s="4"/>
      <c r="F53" s="15"/>
      <c r="G53" s="4"/>
      <c r="H53" s="4"/>
      <c r="I53" s="4"/>
      <c r="J53" s="4"/>
      <c r="K53" s="133"/>
      <c r="L53" s="4"/>
      <c r="M53" s="4"/>
      <c r="N53" s="10" t="s">
        <v>79</v>
      </c>
      <c r="O53" s="19"/>
      <c r="P53" s="19"/>
      <c r="Q53" s="19"/>
      <c r="R53" s="28"/>
      <c r="S53" s="19">
        <v>116</v>
      </c>
      <c r="T53" s="19">
        <v>98.699999999999989</v>
      </c>
      <c r="U53" s="19">
        <v>117.8</v>
      </c>
      <c r="V53" s="28">
        <v>84.1</v>
      </c>
      <c r="W53" s="133">
        <v>151.1</v>
      </c>
      <c r="X53" s="167">
        <v>140.30000000000001</v>
      </c>
    </row>
    <row r="54" spans="1:24" ht="12" customHeight="1" thickBot="1">
      <c r="A54" s="4"/>
      <c r="B54" s="4"/>
      <c r="C54" s="4"/>
      <c r="D54" s="4"/>
      <c r="E54" s="4"/>
      <c r="F54" s="4"/>
      <c r="G54" s="4"/>
      <c r="H54" s="4"/>
      <c r="I54" s="4"/>
      <c r="J54" s="4"/>
      <c r="K54" s="148"/>
      <c r="L54" s="4"/>
      <c r="M54" s="4"/>
      <c r="N54" s="10" t="s">
        <v>81</v>
      </c>
      <c r="O54" s="19"/>
      <c r="P54" s="19"/>
      <c r="Q54" s="19">
        <v>95.77</v>
      </c>
      <c r="R54" s="28">
        <v>80.709999999999994</v>
      </c>
      <c r="S54" s="19">
        <v>0</v>
      </c>
      <c r="T54" s="19">
        <v>0</v>
      </c>
      <c r="U54" s="19">
        <v>0</v>
      </c>
      <c r="V54" s="28">
        <v>0</v>
      </c>
      <c r="W54" s="133">
        <v>134.1</v>
      </c>
      <c r="X54" s="167">
        <v>123.8</v>
      </c>
    </row>
    <row r="55" spans="1:24" ht="12" customHeight="1">
      <c r="A55" s="58" t="s">
        <v>101</v>
      </c>
      <c r="B55" s="59"/>
      <c r="C55" s="59"/>
      <c r="D55" s="60">
        <v>111695680</v>
      </c>
      <c r="E55" s="114">
        <v>111695680</v>
      </c>
      <c r="F55" s="126">
        <v>237149686</v>
      </c>
      <c r="G55" s="126">
        <v>237149686</v>
      </c>
      <c r="H55" s="126">
        <v>237149686</v>
      </c>
      <c r="I55" s="126">
        <v>237149686</v>
      </c>
      <c r="J55" s="151">
        <v>237149686</v>
      </c>
      <c r="K55" s="207">
        <v>237149686</v>
      </c>
      <c r="L55" s="4"/>
      <c r="M55" s="4"/>
      <c r="N55" s="10" t="s">
        <v>83</v>
      </c>
      <c r="O55" s="19"/>
      <c r="P55" s="19"/>
      <c r="Q55" s="19">
        <v>190.54</v>
      </c>
      <c r="R55" s="28">
        <v>156.11000000000001</v>
      </c>
      <c r="S55" s="19">
        <v>201.8</v>
      </c>
      <c r="T55" s="19">
        <v>156.9</v>
      </c>
      <c r="U55" s="19">
        <v>0</v>
      </c>
      <c r="V55" s="28">
        <v>0</v>
      </c>
      <c r="W55" s="133">
        <v>0</v>
      </c>
      <c r="X55" s="167">
        <v>0</v>
      </c>
    </row>
    <row r="56" spans="1:24" ht="12" customHeight="1">
      <c r="A56" s="10" t="s">
        <v>103</v>
      </c>
      <c r="B56" s="61">
        <f>B55*O66/1000000</f>
        <v>0</v>
      </c>
      <c r="C56" s="61">
        <f>C55*P66/1000000</f>
        <v>0</v>
      </c>
      <c r="D56" s="61">
        <f>D55*Q66/10000000</f>
        <v>5905.350601600001</v>
      </c>
      <c r="E56" s="61">
        <f>E55*R66/10000000</f>
        <v>11764.905974400001</v>
      </c>
      <c r="F56" s="85">
        <f t="shared" ref="F56:K56" si="35">F55*S66/1000000</f>
        <v>16695.337894400003</v>
      </c>
      <c r="G56" s="85">
        <f t="shared" si="35"/>
        <v>25256.441558999999</v>
      </c>
      <c r="H56" s="85">
        <f t="shared" si="35"/>
        <v>15455.04503662</v>
      </c>
      <c r="I56" s="85">
        <f t="shared" si="35"/>
        <v>49730.2891542</v>
      </c>
      <c r="J56" s="152">
        <f t="shared" si="35"/>
        <v>58552.257473400001</v>
      </c>
      <c r="K56" s="208">
        <f t="shared" si="35"/>
        <v>62429.654839499999</v>
      </c>
      <c r="L56" s="4"/>
      <c r="M56" s="4"/>
      <c r="N56" s="10" t="s">
        <v>85</v>
      </c>
      <c r="O56" s="19"/>
      <c r="P56" s="19"/>
      <c r="Q56" s="19">
        <v>23.12</v>
      </c>
      <c r="R56" s="28">
        <v>44.56</v>
      </c>
      <c r="S56" s="19">
        <v>183.6</v>
      </c>
      <c r="T56" s="19">
        <v>170.7</v>
      </c>
      <c r="U56" s="19">
        <v>13.600000000000001</v>
      </c>
      <c r="V56" s="28">
        <v>22.5</v>
      </c>
      <c r="W56" s="133">
        <v>33.5</v>
      </c>
      <c r="X56" s="167">
        <v>20.6</v>
      </c>
    </row>
    <row r="57" spans="1:24" ht="11.25" customHeight="1">
      <c r="A57" s="10" t="s">
        <v>105</v>
      </c>
      <c r="B57" s="61">
        <f t="shared" ref="B57:I57" si="36">O10</f>
        <v>0</v>
      </c>
      <c r="C57" s="61">
        <f t="shared" si="36"/>
        <v>0</v>
      </c>
      <c r="D57" s="61">
        <f t="shared" si="36"/>
        <v>4702.24</v>
      </c>
      <c r="E57" s="61">
        <f t="shared" si="36"/>
        <v>4713.7999999999993</v>
      </c>
      <c r="F57" s="85">
        <f>S10</f>
        <v>28221.4</v>
      </c>
      <c r="G57" s="85">
        <f t="shared" si="36"/>
        <v>26110.3</v>
      </c>
      <c r="H57" s="85">
        <f t="shared" si="36"/>
        <v>29269.200000000001</v>
      </c>
      <c r="I57" s="85">
        <f t="shared" si="36"/>
        <v>32855.9</v>
      </c>
      <c r="J57" s="152">
        <f>W10</f>
        <v>42966.8</v>
      </c>
      <c r="K57" s="208">
        <f>X10</f>
        <v>44660.5</v>
      </c>
      <c r="L57" s="4"/>
      <c r="M57" s="4"/>
      <c r="N57" s="10" t="s">
        <v>87</v>
      </c>
      <c r="O57" s="7"/>
      <c r="P57" s="7"/>
      <c r="Q57" s="7"/>
      <c r="R57" s="20"/>
      <c r="S57" s="19">
        <v>61.6</v>
      </c>
      <c r="T57" s="19">
        <v>69.900000000000006</v>
      </c>
      <c r="U57" s="19">
        <v>121.5</v>
      </c>
      <c r="V57" s="28">
        <v>306.10000000000002</v>
      </c>
      <c r="W57" s="133">
        <v>234.9</v>
      </c>
      <c r="X57" s="167">
        <v>184</v>
      </c>
    </row>
    <row r="58" spans="1:24" ht="12" customHeight="1">
      <c r="A58" s="10" t="s">
        <v>107</v>
      </c>
      <c r="B58" s="61">
        <f>O35</f>
        <v>0</v>
      </c>
      <c r="C58" s="61">
        <f>P35</f>
        <v>0</v>
      </c>
      <c r="D58" s="61">
        <f t="shared" ref="D58:I58" si="37">Q35+Q34</f>
        <v>101.78999999999999</v>
      </c>
      <c r="E58" s="61">
        <f t="shared" si="37"/>
        <v>89.210000000000008</v>
      </c>
      <c r="F58" s="85">
        <f>S35+S34</f>
        <v>1641.8</v>
      </c>
      <c r="G58" s="85">
        <f t="shared" si="37"/>
        <v>3001.8</v>
      </c>
      <c r="H58" s="85">
        <f t="shared" si="37"/>
        <v>3573.5</v>
      </c>
      <c r="I58" s="85">
        <f t="shared" si="37"/>
        <v>9311.2999999999993</v>
      </c>
      <c r="J58" s="152">
        <f>W35+W34</f>
        <v>7317.2999999999993</v>
      </c>
      <c r="K58" s="208">
        <f>X35+X34</f>
        <v>7051.7</v>
      </c>
      <c r="L58" s="4"/>
      <c r="M58" s="4"/>
      <c r="N58" s="31"/>
      <c r="O58" s="4"/>
      <c r="P58" s="4"/>
      <c r="Q58" s="4"/>
      <c r="R58" s="4"/>
      <c r="S58" s="19">
        <v>0</v>
      </c>
      <c r="T58" s="19">
        <v>0</v>
      </c>
      <c r="U58" s="19">
        <v>0</v>
      </c>
      <c r="V58" s="28">
        <v>0</v>
      </c>
      <c r="W58" s="133">
        <v>0</v>
      </c>
      <c r="X58" s="167">
        <v>0</v>
      </c>
    </row>
    <row r="59" spans="1:24" ht="12" customHeight="1" thickBot="1">
      <c r="A59" s="62" t="s">
        <v>109</v>
      </c>
      <c r="B59" s="44">
        <f t="shared" ref="B59:H59" si="38">B56+B57-B58</f>
        <v>0</v>
      </c>
      <c r="C59" s="44">
        <f t="shared" si="38"/>
        <v>0</v>
      </c>
      <c r="D59" s="44">
        <f t="shared" si="38"/>
        <v>10505.8006016</v>
      </c>
      <c r="E59" s="44">
        <f t="shared" si="38"/>
        <v>16389.495974400001</v>
      </c>
      <c r="F59" s="86">
        <f>F56+F57-F58</f>
        <v>43274.937894400005</v>
      </c>
      <c r="G59" s="86">
        <f t="shared" si="38"/>
        <v>48364.941558999999</v>
      </c>
      <c r="H59" s="86">
        <f t="shared" si="38"/>
        <v>41150.745036619999</v>
      </c>
      <c r="I59" s="86">
        <f>I56+I57-I58</f>
        <v>73274.889154199991</v>
      </c>
      <c r="J59" s="101">
        <f>J56+J57-J58</f>
        <v>94201.757473399994</v>
      </c>
      <c r="K59" s="209">
        <f>K56+K57-K58</f>
        <v>100038.4548395</v>
      </c>
      <c r="L59" s="45"/>
      <c r="M59" s="4"/>
      <c r="N59" s="10" t="s">
        <v>90</v>
      </c>
      <c r="O59" s="19"/>
      <c r="P59" s="19"/>
      <c r="Q59" s="19"/>
      <c r="R59" s="28"/>
      <c r="S59" s="19">
        <v>0</v>
      </c>
      <c r="T59" s="19">
        <v>0</v>
      </c>
      <c r="U59" s="19">
        <v>0</v>
      </c>
      <c r="V59" s="28">
        <v>0</v>
      </c>
      <c r="W59" s="133">
        <v>0</v>
      </c>
      <c r="X59" s="167">
        <v>0</v>
      </c>
    </row>
    <row r="60" spans="1:24" ht="12" customHeight="1">
      <c r="A60" s="4"/>
      <c r="B60" s="4"/>
      <c r="C60" s="4"/>
      <c r="D60" s="4"/>
      <c r="E60" s="4"/>
      <c r="F60" s="4"/>
      <c r="G60" s="52"/>
      <c r="H60" s="57"/>
      <c r="I60" s="57"/>
      <c r="J60" s="57"/>
      <c r="K60" s="57"/>
      <c r="L60" s="50"/>
      <c r="M60" s="4"/>
      <c r="N60" s="31"/>
      <c r="O60" s="4"/>
      <c r="P60" s="4"/>
      <c r="Q60" s="4"/>
      <c r="R60" s="4"/>
      <c r="S60" s="19"/>
      <c r="T60" s="76"/>
      <c r="U60" s="76"/>
      <c r="V60" s="165"/>
      <c r="W60" s="174"/>
      <c r="X60" s="169"/>
    </row>
    <row r="61" spans="1:24" ht="12" customHeight="1">
      <c r="A61" s="4"/>
      <c r="B61" s="4"/>
      <c r="C61" s="4"/>
      <c r="D61" s="4"/>
      <c r="E61" s="4"/>
      <c r="F61" s="4"/>
      <c r="G61" s="52"/>
      <c r="H61" s="57"/>
      <c r="I61" s="57"/>
      <c r="J61" s="57"/>
      <c r="K61" s="57"/>
      <c r="L61" s="4"/>
      <c r="M61" s="4"/>
      <c r="N61" s="12" t="s">
        <v>92</v>
      </c>
      <c r="O61" s="13">
        <f>SUM(O15:O24)+O30</f>
        <v>0</v>
      </c>
      <c r="P61" s="13">
        <f>SUM(P15:P24)+P30</f>
        <v>0</v>
      </c>
      <c r="Q61" s="13">
        <f>SUM(Q15:Q29)+Q30</f>
        <v>10193.02</v>
      </c>
      <c r="R61" s="14">
        <f>SUM(R15:R29)+R30</f>
        <v>10336.32</v>
      </c>
      <c r="S61" s="13">
        <f>S14+S30+S41</f>
        <v>84286.000000000015</v>
      </c>
      <c r="T61" s="75">
        <f t="shared" ref="T61:V61" si="39">T14+T30+T41</f>
        <v>86234.900000000009</v>
      </c>
      <c r="U61" s="75">
        <f>U14+U30+U41</f>
        <v>100552.6</v>
      </c>
      <c r="V61" s="14">
        <f t="shared" si="39"/>
        <v>117267.1</v>
      </c>
      <c r="W61" s="173">
        <f>W14+W30+W41</f>
        <v>142451.29999999999</v>
      </c>
      <c r="X61" s="168">
        <f>X14+X30+X41</f>
        <v>153350.70000000001</v>
      </c>
    </row>
    <row r="62" spans="1:24" ht="12" customHeight="1" thickBot="1">
      <c r="A62" s="4"/>
      <c r="B62" s="4"/>
      <c r="C62" s="4"/>
      <c r="D62" s="4"/>
      <c r="E62" s="4"/>
      <c r="F62" s="4"/>
      <c r="G62" s="57"/>
      <c r="H62" s="50"/>
      <c r="I62" s="50"/>
      <c r="J62" s="50"/>
      <c r="K62" s="50"/>
      <c r="L62" s="52"/>
      <c r="M62" s="4"/>
      <c r="N62" s="68" t="s">
        <v>94</v>
      </c>
      <c r="O62" s="44">
        <f>O56+O43+O10+O6+O53+O57+O54</f>
        <v>0</v>
      </c>
      <c r="P62" s="44">
        <f>P56+P43+P10+P6+P53+P57+P54</f>
        <v>0</v>
      </c>
      <c r="Q62" s="44">
        <f>Q56+Q43+Q10+Q6+Q53+Q57+Q54+Q55</f>
        <v>10193.02</v>
      </c>
      <c r="R62" s="44">
        <f>R56+R43+R10+R6+R53+R57+R54+R55</f>
        <v>10336.32</v>
      </c>
      <c r="S62" s="44">
        <f>S56+S43+S10+S6+S53+S57+S54+S55+S7+S59</f>
        <v>84285.900000000009</v>
      </c>
      <c r="T62" s="73">
        <f>T56+T43+T10+T6+T53+T57+T54+T55+T7+T59</f>
        <v>86234.89999999998</v>
      </c>
      <c r="U62" s="78">
        <f t="shared" ref="U62:V62" si="40">U56+U43+U10+U6+U53+U57+U54+U55+U7+U59</f>
        <v>100552.59999999999</v>
      </c>
      <c r="V62" s="80">
        <f t="shared" si="40"/>
        <v>117267.1</v>
      </c>
      <c r="W62" s="178">
        <f>W56+W43+W10+W6+W53+W57+W54+W55+W7+W59</f>
        <v>142451.29999999999</v>
      </c>
      <c r="X62" s="171">
        <f>X56+X43+X10+X6+X53+X57+X54+X55+X7+X59</f>
        <v>153350.69999999998</v>
      </c>
    </row>
    <row r="63" spans="1:24" ht="12" customHeight="1">
      <c r="A63" s="4"/>
      <c r="B63" s="4"/>
      <c r="C63" s="4"/>
      <c r="D63" s="4"/>
      <c r="E63" s="4"/>
      <c r="F63" s="4"/>
      <c r="G63" s="57"/>
      <c r="H63" s="50"/>
      <c r="I63" s="50"/>
      <c r="J63" s="50"/>
      <c r="K63" s="50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177"/>
    </row>
    <row r="64" spans="1:24" ht="12" customHeight="1" thickBot="1">
      <c r="A64" s="4"/>
      <c r="B64" s="4"/>
      <c r="C64" s="4"/>
      <c r="D64" s="4"/>
      <c r="E64" s="4"/>
      <c r="F64" s="4"/>
      <c r="G64" s="52"/>
      <c r="H64" s="9"/>
      <c r="I64" s="9"/>
      <c r="J64" s="9"/>
      <c r="K64" s="9"/>
      <c r="L64" s="4"/>
      <c r="M64" s="2"/>
      <c r="N64" s="2" t="s">
        <v>97</v>
      </c>
      <c r="O64" s="4"/>
      <c r="P64" s="4"/>
      <c r="Q64" s="4"/>
      <c r="R64" s="4"/>
      <c r="S64" s="4"/>
      <c r="T64" s="4"/>
      <c r="U64" s="4"/>
      <c r="V64" s="4"/>
      <c r="W64" s="176"/>
    </row>
    <row r="65" spans="1:25" ht="12" customHeight="1">
      <c r="A65" s="4"/>
      <c r="B65" s="4"/>
      <c r="C65" s="4"/>
      <c r="D65" s="4"/>
      <c r="E65" s="4"/>
      <c r="F65" s="4"/>
      <c r="G65" s="52"/>
      <c r="H65" s="63"/>
      <c r="I65" s="63"/>
      <c r="J65" s="63"/>
      <c r="K65" s="63"/>
      <c r="L65" s="56"/>
      <c r="M65" s="2"/>
      <c r="N65" s="87" t="s">
        <v>99</v>
      </c>
      <c r="O65" s="88" t="s">
        <v>3</v>
      </c>
      <c r="P65" s="88" t="s">
        <v>4</v>
      </c>
      <c r="Q65" s="89" t="s">
        <v>5</v>
      </c>
      <c r="R65" s="89" t="s">
        <v>6</v>
      </c>
      <c r="S65" s="89" t="s">
        <v>7</v>
      </c>
      <c r="T65" s="90" t="s">
        <v>8</v>
      </c>
      <c r="U65" s="90" t="s">
        <v>9</v>
      </c>
      <c r="V65" s="91" t="s">
        <v>11</v>
      </c>
      <c r="W65" s="156" t="s">
        <v>137</v>
      </c>
      <c r="X65" s="179" t="s">
        <v>140</v>
      </c>
    </row>
    <row r="66" spans="1:25" ht="12" customHeight="1">
      <c r="A66" s="4"/>
      <c r="B66" s="4"/>
      <c r="C66" s="4"/>
      <c r="D66" s="4"/>
      <c r="E66" s="4"/>
      <c r="F66" s="4"/>
      <c r="G66" s="64"/>
      <c r="H66" s="4"/>
      <c r="I66" s="4"/>
      <c r="J66" s="4"/>
      <c r="K66" s="4"/>
      <c r="L66" s="57"/>
      <c r="M66" s="2"/>
      <c r="N66" s="81" t="s">
        <v>100</v>
      </c>
      <c r="O66" s="82"/>
      <c r="P66" s="82"/>
      <c r="Q66" s="82">
        <v>528.70000000000005</v>
      </c>
      <c r="R66" s="82">
        <v>1053.3</v>
      </c>
      <c r="S66" s="19">
        <v>70.400000000000006</v>
      </c>
      <c r="T66" s="19">
        <v>106.5</v>
      </c>
      <c r="U66" s="19">
        <v>65.17</v>
      </c>
      <c r="V66" s="19">
        <v>209.7</v>
      </c>
      <c r="W66" s="28">
        <v>246.9</v>
      </c>
      <c r="X66" s="180">
        <v>263.25</v>
      </c>
      <c r="Y66" s="181"/>
    </row>
    <row r="67" spans="1:25" ht="12" customHeight="1">
      <c r="A67" s="4"/>
      <c r="B67" s="4"/>
      <c r="C67" s="4"/>
      <c r="D67" s="4"/>
      <c r="E67" s="4"/>
      <c r="F67" s="4"/>
      <c r="G67" s="45"/>
      <c r="H67" s="4"/>
      <c r="I67" s="4"/>
      <c r="J67" s="4"/>
      <c r="K67" s="4"/>
      <c r="L67" s="57"/>
      <c r="M67" s="2"/>
      <c r="N67" s="81" t="s">
        <v>102</v>
      </c>
      <c r="O67" s="83" t="e">
        <f t="shared" ref="O67:P67" si="41">#REF!</f>
        <v>#REF!</v>
      </c>
      <c r="P67" s="83" t="e">
        <f t="shared" si="41"/>
        <v>#REF!</v>
      </c>
      <c r="Q67" s="83" t="e">
        <f>#REF!</f>
        <v>#REF!</v>
      </c>
      <c r="R67" s="83" t="e">
        <f>#REF!</f>
        <v>#REF!</v>
      </c>
      <c r="S67" s="83">
        <f t="shared" ref="S67:X67" si="42">F38</f>
        <v>-1.7000000000000002</v>
      </c>
      <c r="T67" s="83">
        <f t="shared" si="42"/>
        <v>6.22</v>
      </c>
      <c r="U67" s="83">
        <f t="shared" si="42"/>
        <v>2.8</v>
      </c>
      <c r="V67" s="83">
        <f t="shared" si="42"/>
        <v>1.77</v>
      </c>
      <c r="W67" s="157">
        <f t="shared" si="42"/>
        <v>-7.52</v>
      </c>
      <c r="X67" s="183">
        <f>K38+W67-(0.07)</f>
        <v>-12.19</v>
      </c>
      <c r="Y67" s="181" t="s">
        <v>139</v>
      </c>
    </row>
    <row r="68" spans="1:25" ht="12" customHeight="1">
      <c r="A68" s="4"/>
      <c r="B68" s="4"/>
      <c r="C68" s="4"/>
      <c r="D68" s="4"/>
      <c r="E68" s="4"/>
      <c r="F68" s="4"/>
      <c r="G68" s="57"/>
      <c r="H68" s="4"/>
      <c r="I68" s="4"/>
      <c r="J68" s="4"/>
      <c r="K68" s="4"/>
      <c r="L68" s="57"/>
      <c r="M68" s="2"/>
      <c r="N68" s="92" t="s">
        <v>104</v>
      </c>
      <c r="O68" s="84">
        <v>0</v>
      </c>
      <c r="P68" s="84">
        <v>0</v>
      </c>
      <c r="Q68" s="84">
        <f>Q6/(D55/10000000)</f>
        <v>211.62412010921102</v>
      </c>
      <c r="R68" s="84">
        <f>R6/(E55/10000000)</f>
        <v>222.1983876189303</v>
      </c>
      <c r="S68" s="84">
        <f t="shared" ref="S68:X68" si="43">S6/(F55/1000000)</f>
        <v>79.948239948333736</v>
      </c>
      <c r="T68" s="84">
        <f t="shared" si="43"/>
        <v>86.108484242310993</v>
      </c>
      <c r="U68" s="84">
        <f t="shared" si="43"/>
        <v>83.777045355227671</v>
      </c>
      <c r="V68" s="84">
        <f t="shared" si="43"/>
        <v>79.407231431038028</v>
      </c>
      <c r="W68" s="158">
        <f t="shared" si="43"/>
        <v>72.987657255426427</v>
      </c>
      <c r="X68" s="182">
        <f t="shared" si="43"/>
        <v>68.257733219178704</v>
      </c>
      <c r="Y68" s="181"/>
    </row>
    <row r="69" spans="1:25" ht="12" customHeight="1">
      <c r="A69" s="4"/>
      <c r="B69" s="4"/>
      <c r="C69" s="4"/>
      <c r="D69" s="4"/>
      <c r="E69" s="4"/>
      <c r="F69" s="4"/>
      <c r="G69" s="57"/>
      <c r="H69" s="45"/>
      <c r="I69" s="45"/>
      <c r="J69" s="45"/>
      <c r="K69" s="45"/>
      <c r="L69" s="52"/>
      <c r="M69" s="2"/>
      <c r="N69" s="92" t="s">
        <v>106</v>
      </c>
      <c r="O69" s="69"/>
      <c r="P69" s="69"/>
      <c r="Q69" s="69">
        <v>0</v>
      </c>
      <c r="R69" s="69">
        <v>0</v>
      </c>
      <c r="S69" s="127">
        <v>0</v>
      </c>
      <c r="T69" s="127">
        <v>0</v>
      </c>
      <c r="U69" s="104">
        <v>5</v>
      </c>
      <c r="V69" s="104">
        <v>6.3</v>
      </c>
      <c r="W69" s="159">
        <v>6.3</v>
      </c>
      <c r="X69" s="200" t="s">
        <v>19</v>
      </c>
    </row>
    <row r="70" spans="1:25" ht="12" customHeight="1">
      <c r="A70" s="4"/>
      <c r="B70" s="4"/>
      <c r="C70" s="4"/>
      <c r="D70" s="4"/>
      <c r="E70" s="4"/>
      <c r="F70" s="4"/>
      <c r="G70" s="57"/>
      <c r="H70" s="52"/>
      <c r="I70" s="52"/>
      <c r="J70" s="52"/>
      <c r="K70" s="52"/>
      <c r="L70" s="57"/>
      <c r="M70" s="2"/>
      <c r="N70" s="92" t="s">
        <v>108</v>
      </c>
      <c r="O70" s="84" t="e">
        <f t="shared" ref="O70:V70" si="44">(O66/O67)</f>
        <v>#REF!</v>
      </c>
      <c r="P70" s="84" t="e">
        <f t="shared" si="44"/>
        <v>#REF!</v>
      </c>
      <c r="Q70" s="84" t="e">
        <f t="shared" si="44"/>
        <v>#REF!</v>
      </c>
      <c r="R70" s="84" t="e">
        <f t="shared" si="44"/>
        <v>#REF!</v>
      </c>
      <c r="S70" s="84">
        <f>(S66/S67)</f>
        <v>-41.411764705882355</v>
      </c>
      <c r="T70" s="84">
        <f t="shared" si="44"/>
        <v>17.122186495176848</v>
      </c>
      <c r="U70" s="84">
        <f t="shared" si="44"/>
        <v>23.275000000000002</v>
      </c>
      <c r="V70" s="93">
        <f t="shared" si="44"/>
        <v>118.47457627118644</v>
      </c>
      <c r="W70" s="160" t="s">
        <v>19</v>
      </c>
      <c r="X70" s="189" t="s">
        <v>19</v>
      </c>
    </row>
    <row r="71" spans="1:25" ht="12" customHeight="1">
      <c r="A71" s="4"/>
      <c r="B71" s="4"/>
      <c r="C71" s="4"/>
      <c r="D71" s="4"/>
      <c r="E71" s="4"/>
      <c r="F71" s="4"/>
      <c r="G71" s="57"/>
      <c r="H71" s="52"/>
      <c r="I71" s="52"/>
      <c r="J71" s="52"/>
      <c r="K71" s="52"/>
      <c r="L71" s="57"/>
      <c r="M71" s="2"/>
      <c r="N71" s="92" t="s">
        <v>110</v>
      </c>
      <c r="O71" s="84">
        <v>0</v>
      </c>
      <c r="P71" s="84">
        <v>0</v>
      </c>
      <c r="Q71" s="84">
        <f t="shared" ref="Q71:U71" si="45">(Q66/Q68)</f>
        <v>2.4982974517609735</v>
      </c>
      <c r="R71" s="84">
        <f t="shared" si="45"/>
        <v>4.7403584305319395</v>
      </c>
      <c r="S71" s="84">
        <f>(S66/S68)</f>
        <v>0.88056972918347864</v>
      </c>
      <c r="T71" s="84">
        <f t="shared" si="45"/>
        <v>1.2368119232049988</v>
      </c>
      <c r="U71" s="84">
        <f t="shared" si="45"/>
        <v>0.77789804741464785</v>
      </c>
      <c r="V71" s="93">
        <f t="shared" ref="V71:X71" si="46">V66/V68</f>
        <v>2.6408174195333327</v>
      </c>
      <c r="W71" s="160">
        <f t="shared" si="46"/>
        <v>3.3827637340920913</v>
      </c>
      <c r="X71" s="164">
        <f t="shared" si="46"/>
        <v>3.8567058644431129</v>
      </c>
    </row>
    <row r="72" spans="1:25" ht="12" customHeight="1">
      <c r="A72" s="4"/>
      <c r="B72" s="4"/>
      <c r="C72" s="4"/>
      <c r="D72" s="4"/>
      <c r="E72" s="4"/>
      <c r="F72" s="4"/>
      <c r="G72" s="57"/>
      <c r="H72" s="52"/>
      <c r="I72" s="52"/>
      <c r="J72" s="52"/>
      <c r="K72" s="52"/>
      <c r="L72" s="50"/>
      <c r="M72" s="2"/>
      <c r="N72" s="92" t="s">
        <v>111</v>
      </c>
      <c r="O72" s="84" t="e">
        <f t="shared" ref="O72:V72" si="47">B59/B17</f>
        <v>#DIV/0!</v>
      </c>
      <c r="P72" s="84" t="e">
        <f t="shared" si="47"/>
        <v>#DIV/0!</v>
      </c>
      <c r="Q72" s="84">
        <f t="shared" si="47"/>
        <v>6.9739256801465679</v>
      </c>
      <c r="R72" s="84">
        <f t="shared" si="47"/>
        <v>9.318567190357065</v>
      </c>
      <c r="S72" s="84">
        <f t="shared" si="47"/>
        <v>11.470548385612423</v>
      </c>
      <c r="T72" s="84">
        <f t="shared" si="47"/>
        <v>7.5515944101114849</v>
      </c>
      <c r="U72" s="84">
        <f t="shared" si="47"/>
        <v>10.263310895777524</v>
      </c>
      <c r="V72" s="84">
        <f t="shared" si="47"/>
        <v>13.628734149390857</v>
      </c>
      <c r="W72" s="158">
        <f>J59/J17</f>
        <v>25.429693735395734</v>
      </c>
      <c r="X72" s="189" t="s">
        <v>19</v>
      </c>
    </row>
    <row r="73" spans="1:25" ht="14.25" customHeight="1">
      <c r="A73" s="4"/>
      <c r="B73" s="4"/>
      <c r="C73" s="4"/>
      <c r="D73" s="4"/>
      <c r="E73" s="4"/>
      <c r="F73" s="4"/>
      <c r="G73" s="52"/>
      <c r="H73" s="52"/>
      <c r="I73" s="52"/>
      <c r="J73" s="52"/>
      <c r="K73" s="52"/>
      <c r="L73" s="4"/>
      <c r="M73" s="2"/>
      <c r="N73" s="94" t="s">
        <v>112</v>
      </c>
      <c r="O73" s="95" t="e">
        <f>(#REF!/O6)</f>
        <v>#REF!</v>
      </c>
      <c r="P73" s="95" t="e">
        <f>(#REF!/P6)</f>
        <v>#REF!</v>
      </c>
      <c r="Q73" s="95">
        <f t="shared" ref="Q73:V73" si="48">(D31/Q6)</f>
        <v>0.28904494976203093</v>
      </c>
      <c r="R73" s="95">
        <f t="shared" si="48"/>
        <v>0.35376693286486721</v>
      </c>
      <c r="S73" s="95">
        <f t="shared" si="48"/>
        <v>-2.0728176078734606E-3</v>
      </c>
      <c r="T73" s="95">
        <f t="shared" si="48"/>
        <v>7.2260364533852969E-2</v>
      </c>
      <c r="U73" s="95">
        <f t="shared" si="48"/>
        <v>3.3481479990134816E-2</v>
      </c>
      <c r="V73" s="95">
        <f t="shared" si="48"/>
        <v>2.2303174485168616E-2</v>
      </c>
      <c r="W73" s="161">
        <f>(J31/W6)</f>
        <v>-0.10567912646600028</v>
      </c>
      <c r="X73" s="185">
        <f>(K31/X6)</f>
        <v>-6.8905870651683618E-2</v>
      </c>
      <c r="Y73" s="181"/>
    </row>
    <row r="74" spans="1:25" ht="14.25" customHeight="1">
      <c r="A74" s="4"/>
      <c r="B74" s="4"/>
      <c r="C74" s="4"/>
      <c r="D74" s="4"/>
      <c r="E74" s="4"/>
      <c r="F74" s="4"/>
      <c r="G74" s="57"/>
      <c r="H74" s="52"/>
      <c r="I74" s="52"/>
      <c r="J74" s="52"/>
      <c r="K74" s="52"/>
      <c r="L74" s="9"/>
      <c r="M74" s="2"/>
      <c r="N74" s="94" t="s">
        <v>113</v>
      </c>
      <c r="O74" s="70" t="e">
        <f t="shared" ref="O74:W74" si="49">(B17-B21)/O11</f>
        <v>#DIV/0!</v>
      </c>
      <c r="P74" s="70" t="e">
        <f t="shared" si="49"/>
        <v>#DIV/0!</v>
      </c>
      <c r="Q74" s="70">
        <f t="shared" si="49"/>
        <v>0.17313214425720963</v>
      </c>
      <c r="R74" s="70">
        <f t="shared" si="49"/>
        <v>0.20087941898310918</v>
      </c>
      <c r="S74" s="95">
        <f t="shared" si="49"/>
        <v>0.1431706221216644</v>
      </c>
      <c r="T74" s="95">
        <f t="shared" si="49"/>
        <v>0.23324669877388371</v>
      </c>
      <c r="U74" s="95">
        <f t="shared" si="49"/>
        <v>0.15445037765535785</v>
      </c>
      <c r="V74" s="95">
        <f t="shared" si="49"/>
        <v>0.20300362506473343</v>
      </c>
      <c r="W74" s="161">
        <f t="shared" si="49"/>
        <v>0.17588340148893794</v>
      </c>
      <c r="X74" s="184">
        <f>(K17-K21)/X11</f>
        <v>0.1000158633780244</v>
      </c>
    </row>
    <row r="75" spans="1:25" ht="14.25" customHeight="1">
      <c r="A75" s="4"/>
      <c r="B75" s="4"/>
      <c r="C75" s="4"/>
      <c r="D75" s="4"/>
      <c r="E75" s="4"/>
      <c r="F75" s="4"/>
      <c r="G75" s="52"/>
      <c r="H75" s="57"/>
      <c r="I75" s="57"/>
      <c r="J75" s="57"/>
      <c r="K75" s="57"/>
      <c r="L75" s="63"/>
      <c r="M75" s="2"/>
      <c r="N75" s="92" t="s">
        <v>114</v>
      </c>
      <c r="O75" s="96" t="e">
        <f t="shared" ref="O75:R75" si="50">(O10/O6)</f>
        <v>#DIV/0!</v>
      </c>
      <c r="P75" s="96" t="e">
        <f t="shared" si="50"/>
        <v>#DIV/0!</v>
      </c>
      <c r="Q75" s="96">
        <f t="shared" si="50"/>
        <v>1.989313590692755</v>
      </c>
      <c r="R75" s="96">
        <f t="shared" si="50"/>
        <v>1.8993013304537723</v>
      </c>
      <c r="S75" s="96">
        <f>(S10/S6)</f>
        <v>1.4884940162555316</v>
      </c>
      <c r="T75" s="96">
        <f t="shared" ref="T75:V75" si="51">(T10/T6)</f>
        <v>1.2786255056168772</v>
      </c>
      <c r="U75" s="96">
        <f t="shared" si="51"/>
        <v>1.4732052527469208</v>
      </c>
      <c r="V75" s="96">
        <f t="shared" si="51"/>
        <v>1.7447401680172481</v>
      </c>
      <c r="W75" s="162">
        <f>(W10/W6)</f>
        <v>2.482338667745104</v>
      </c>
      <c r="X75" s="186">
        <f>(X10/X6)</f>
        <v>2.7589838947817116</v>
      </c>
    </row>
    <row r="76" spans="1:25" ht="14.25" customHeight="1">
      <c r="A76" s="4"/>
      <c r="B76" s="4"/>
      <c r="C76" s="4"/>
      <c r="D76" s="4"/>
      <c r="E76" s="4"/>
      <c r="F76" s="4"/>
      <c r="G76" s="15"/>
      <c r="H76" s="57"/>
      <c r="I76" s="57"/>
      <c r="J76" s="57"/>
      <c r="K76" s="57"/>
      <c r="L76" s="4"/>
      <c r="M76" s="2"/>
      <c r="N76" s="92" t="s">
        <v>115</v>
      </c>
      <c r="O76" s="96" t="e">
        <f t="shared" ref="O76:R76" si="52">(O10-O35-O34)/O6</f>
        <v>#DIV/0!</v>
      </c>
      <c r="P76" s="96" t="e">
        <f t="shared" si="52"/>
        <v>#DIV/0!</v>
      </c>
      <c r="Q76" s="96">
        <f t="shared" si="52"/>
        <v>1.946250661025912</v>
      </c>
      <c r="R76" s="96">
        <f t="shared" si="52"/>
        <v>1.8633565148719102</v>
      </c>
      <c r="S76" s="96">
        <f>(S10-S35-S34)/S6</f>
        <v>1.4018998190899645</v>
      </c>
      <c r="T76" s="96">
        <f t="shared" ref="T76:V76" si="53">(T10-T35-T34)/T6</f>
        <v>1.1316268865753212</v>
      </c>
      <c r="U76" s="96">
        <f t="shared" si="53"/>
        <v>1.293340447057284</v>
      </c>
      <c r="V76" s="96">
        <f t="shared" si="53"/>
        <v>1.2502840999607041</v>
      </c>
      <c r="W76" s="162">
        <f>(W10-W35-W34)/W6</f>
        <v>2.0595932751747648</v>
      </c>
      <c r="X76" s="187">
        <f>(X10-X35-X34)/X6</f>
        <v>2.3233522576340713</v>
      </c>
      <c r="Y76" s="181"/>
    </row>
    <row r="77" spans="1:25" ht="14.25" customHeight="1">
      <c r="A77" s="4"/>
      <c r="B77" s="4"/>
      <c r="C77" s="4"/>
      <c r="D77" s="4"/>
      <c r="E77" s="4"/>
      <c r="F77" s="4"/>
      <c r="G77" s="4"/>
      <c r="H77" s="52"/>
      <c r="I77" s="52"/>
      <c r="J77" s="52"/>
      <c r="K77" s="52"/>
      <c r="L77" s="4"/>
      <c r="M77" s="2"/>
      <c r="N77" s="92" t="s">
        <v>116</v>
      </c>
      <c r="O77" s="70" t="e">
        <f t="shared" ref="O77:U77" si="54">(O69/O66)</f>
        <v>#DIV/0!</v>
      </c>
      <c r="P77" s="70" t="e">
        <f t="shared" si="54"/>
        <v>#DIV/0!</v>
      </c>
      <c r="Q77" s="70">
        <f t="shared" si="54"/>
        <v>0</v>
      </c>
      <c r="R77" s="70">
        <f t="shared" si="54"/>
        <v>0</v>
      </c>
      <c r="S77" s="95">
        <f t="shared" si="54"/>
        <v>0</v>
      </c>
      <c r="T77" s="95">
        <f t="shared" si="54"/>
        <v>0</v>
      </c>
      <c r="U77" s="95">
        <f t="shared" si="54"/>
        <v>7.6722418290624525E-2</v>
      </c>
      <c r="V77" s="95">
        <f>(V69/V66)</f>
        <v>3.0042918454935622E-2</v>
      </c>
      <c r="W77" s="161">
        <f>(W69/W66)</f>
        <v>2.551640340218712E-2</v>
      </c>
      <c r="X77" s="190" t="s">
        <v>19</v>
      </c>
      <c r="Y77" s="181"/>
    </row>
    <row r="78" spans="1:25" ht="14.25" customHeight="1">
      <c r="A78" s="4"/>
      <c r="B78" s="4"/>
      <c r="C78" s="4"/>
      <c r="D78" s="4"/>
      <c r="E78" s="4"/>
      <c r="F78" s="4"/>
      <c r="G78" s="66"/>
      <c r="H78" s="52"/>
      <c r="I78" s="52"/>
      <c r="J78" s="52"/>
      <c r="K78" s="52"/>
      <c r="L78" s="4"/>
      <c r="M78" s="2"/>
      <c r="N78" s="92" t="s">
        <v>117</v>
      </c>
      <c r="O78" s="97" t="e">
        <f>(AVERAGE(O33)/B6*365)</f>
        <v>#DIV/0!</v>
      </c>
      <c r="P78" s="97" t="e">
        <f>(AVERAGE(O33:P33)/C6*365)</f>
        <v>#DIV/0!</v>
      </c>
      <c r="Q78" s="97">
        <f>(AVERAGE(P33:Q33)/D6*365)</f>
        <v>21.747564651915383</v>
      </c>
      <c r="R78" s="97">
        <f>(AVERAGE(Q33:R33)/E6*365)</f>
        <v>22.126825157790879</v>
      </c>
      <c r="S78" s="97">
        <f>(AVERAGE(S33:S33)/F6*365)</f>
        <v>106.02435238554948</v>
      </c>
      <c r="T78" s="97">
        <f>(AVERAGE(S33:T33)/G6*365)</f>
        <v>72.511272753591726</v>
      </c>
      <c r="U78" s="84">
        <f>(AVERAGE(T33:U33)/H6*365)</f>
        <v>100.4120320684582</v>
      </c>
      <c r="V78" s="84">
        <f>(AVERAGE(U33:V33)/I6*365)</f>
        <v>82.881211008362456</v>
      </c>
      <c r="W78" s="158">
        <f>(AVERAGE(V33:W33)/J6*365)</f>
        <v>83.368460152976652</v>
      </c>
      <c r="X78" s="190" t="s">
        <v>19</v>
      </c>
      <c r="Y78" s="181"/>
    </row>
    <row r="79" spans="1:25" ht="14.25" customHeight="1">
      <c r="A79" s="4"/>
      <c r="B79" s="4"/>
      <c r="C79" s="4"/>
      <c r="D79" s="4"/>
      <c r="E79" s="4"/>
      <c r="F79" s="4"/>
      <c r="G79" s="57"/>
      <c r="H79" s="64"/>
      <c r="I79" s="64"/>
      <c r="J79" s="64"/>
      <c r="K79" s="64"/>
      <c r="L79" s="45"/>
      <c r="M79" s="2"/>
      <c r="N79" s="92" t="s">
        <v>118</v>
      </c>
      <c r="O79" s="97" t="e">
        <f>AVERAGE(O44)/(B10+B11+B12)*365</f>
        <v>#DIV/0!</v>
      </c>
      <c r="P79" s="97" t="e">
        <f>AVERAGE(O44:P44)/(C10+C11+C12)*365</f>
        <v>#DIV/0!</v>
      </c>
      <c r="Q79" s="98">
        <f>AVERAGE(P46:Q46)/(D9)*365</f>
        <v>30.519957774380838</v>
      </c>
      <c r="R79" s="98">
        <f>AVERAGE(Q46:R46)/(E9)*365</f>
        <v>35.761839408796561</v>
      </c>
      <c r="S79" s="98">
        <f>AVERAGE(S46:S46)/(F9)*365</f>
        <v>299.19468570587372</v>
      </c>
      <c r="T79" s="98">
        <f>AVERAGE(S46:T46)/(G9)*365</f>
        <v>244.10566116650247</v>
      </c>
      <c r="U79" s="84">
        <f>AVERAGE(T46:U46)/(H9)*365</f>
        <v>167.92416305514695</v>
      </c>
      <c r="V79" s="84">
        <f>AVERAGE(U46:V46)/(I9)*365</f>
        <v>111.7684693314755</v>
      </c>
      <c r="W79" s="158">
        <f>AVERAGE(V46:W46)/(J9)*365</f>
        <v>131.95545919463166</v>
      </c>
      <c r="X79" s="189" t="s">
        <v>19</v>
      </c>
    </row>
    <row r="80" spans="1:25" ht="14.25" customHeight="1">
      <c r="A80" s="4"/>
      <c r="B80" s="4"/>
      <c r="C80" s="4"/>
      <c r="D80" s="4"/>
      <c r="E80" s="4"/>
      <c r="F80" s="4"/>
      <c r="G80" s="57"/>
      <c r="H80" s="45"/>
      <c r="I80" s="45"/>
      <c r="J80" s="45"/>
      <c r="K80" s="45"/>
      <c r="L80" s="52"/>
      <c r="M80" s="2"/>
      <c r="N80" s="92" t="s">
        <v>119</v>
      </c>
      <c r="O80" s="71" t="e">
        <f>(AVERAGE(O31)/(B10+B11+B12)*365)</f>
        <v>#DIV/0!</v>
      </c>
      <c r="P80" s="71" t="e">
        <f>(AVERAGE(O31:P31)/(C10+C11+C12)*365)</f>
        <v>#DIV/0!</v>
      </c>
      <c r="Q80" s="71">
        <f>(AVERAGE(P31:Q31)/(D9)*365)</f>
        <v>63.708053714277895</v>
      </c>
      <c r="R80" s="71">
        <f>(AVERAGE(Q31:R31)/(E9)*365)</f>
        <v>68.973629967651817</v>
      </c>
      <c r="S80" s="97">
        <f>(AVERAGE(S31:S31)/(F9)*365)</f>
        <v>3445.0293684675412</v>
      </c>
      <c r="T80" s="97">
        <f>(AVERAGE(S31:T31)/(G9)*365)</f>
        <v>3257.8413092459414</v>
      </c>
      <c r="U80" s="84">
        <f>(AVERAGE(T31:U31)/(H9)*365)</f>
        <v>2619.9463739016342</v>
      </c>
      <c r="V80" s="84">
        <f>(AVERAGE(U31:V31)/(I9)*365)</f>
        <v>1704.582527794711</v>
      </c>
      <c r="W80" s="158">
        <f>(AVERAGE(V31:W31)/(J9)*365)</f>
        <v>2027.7216301249796</v>
      </c>
      <c r="X80" s="189" t="s">
        <v>19</v>
      </c>
    </row>
    <row r="81" spans="1:25" ht="14.25" customHeight="1">
      <c r="A81" s="4"/>
      <c r="B81" s="4"/>
      <c r="C81" s="4"/>
      <c r="D81" s="4"/>
      <c r="E81" s="4"/>
      <c r="F81" s="4"/>
      <c r="G81" s="57"/>
      <c r="H81" s="57"/>
      <c r="I81" s="57"/>
      <c r="J81" s="57"/>
      <c r="K81" s="57"/>
      <c r="L81" s="52"/>
      <c r="M81" s="2"/>
      <c r="N81" s="92" t="s">
        <v>120</v>
      </c>
      <c r="O81" s="97" t="e">
        <f t="shared" ref="O81:V81" si="55">(O80+O78-O79)</f>
        <v>#DIV/0!</v>
      </c>
      <c r="P81" s="97" t="e">
        <f t="shared" si="55"/>
        <v>#DIV/0!</v>
      </c>
      <c r="Q81" s="97">
        <f t="shared" si="55"/>
        <v>54.935660591812436</v>
      </c>
      <c r="R81" s="97">
        <f t="shared" si="55"/>
        <v>55.338615716646132</v>
      </c>
      <c r="S81" s="97">
        <f t="shared" si="55"/>
        <v>3251.8590351472167</v>
      </c>
      <c r="T81" s="97">
        <f t="shared" si="55"/>
        <v>3086.2469208330303</v>
      </c>
      <c r="U81" s="84">
        <f t="shared" si="55"/>
        <v>2552.4342429149456</v>
      </c>
      <c r="V81" s="84">
        <f t="shared" si="55"/>
        <v>1675.6952694715981</v>
      </c>
      <c r="W81" s="158">
        <f>(W80+W78-W79)</f>
        <v>1979.1346310833246</v>
      </c>
      <c r="X81" s="189" t="s">
        <v>19</v>
      </c>
    </row>
    <row r="82" spans="1:25" ht="14.25" customHeight="1">
      <c r="A82" s="4"/>
      <c r="B82" s="4"/>
      <c r="C82" s="4"/>
      <c r="D82" s="4"/>
      <c r="E82" s="4"/>
      <c r="F82" s="4"/>
      <c r="G82" s="52"/>
      <c r="H82" s="57"/>
      <c r="I82" s="57"/>
      <c r="J82" s="57"/>
      <c r="K82" s="57"/>
      <c r="L82" s="52"/>
      <c r="M82" s="4"/>
      <c r="N82" s="92" t="s">
        <v>121</v>
      </c>
      <c r="O82" s="97" t="e">
        <f>AVERAGE(O51)/B6*365</f>
        <v>#DIV/0!</v>
      </c>
      <c r="P82" s="97" t="e">
        <f>AVERAGE(O51:P51)/C6*365</f>
        <v>#DIV/0!</v>
      </c>
      <c r="Q82" s="97">
        <f>AVERAGE(P51:Q51)/D6*365</f>
        <v>-42.96425580557667</v>
      </c>
      <c r="R82" s="97">
        <f>AVERAGE(Q51:R51)/E6*365</f>
        <v>-91.851352021186713</v>
      </c>
      <c r="S82" s="97">
        <f>AVERAGE(S51:S51)/F6*365</f>
        <v>501.26915396045769</v>
      </c>
      <c r="T82" s="97">
        <f>AVERAGE(S51:T51)/G6*365</f>
        <v>424.19015307784196</v>
      </c>
      <c r="U82" s="84">
        <f>AVERAGE(T51:U51)/H6*365</f>
        <v>416.05885613970253</v>
      </c>
      <c r="V82" s="84">
        <f>AVERAGE(U51:V51)/I6*365</f>
        <v>207.41257024025498</v>
      </c>
      <c r="W82" s="158">
        <f>AVERAGE(V51:W51)/J6*365</f>
        <v>148.57524377367864</v>
      </c>
      <c r="X82" s="189" t="s">
        <v>19</v>
      </c>
      <c r="Y82" s="181"/>
    </row>
    <row r="83" spans="1:25" ht="15" customHeight="1">
      <c r="A83" s="4"/>
      <c r="B83" s="4"/>
      <c r="C83" s="4"/>
      <c r="D83" s="4"/>
      <c r="E83" s="4"/>
      <c r="F83" s="4"/>
      <c r="G83" s="4"/>
      <c r="H83" s="57"/>
      <c r="I83" s="57"/>
      <c r="J83" s="57"/>
      <c r="K83" s="57"/>
      <c r="L83" s="52"/>
      <c r="M83" s="4"/>
      <c r="N83" s="105" t="s">
        <v>122</v>
      </c>
      <c r="O83" s="95" t="e">
        <f t="shared" ref="O83:V83" si="56">B22/O10</f>
        <v>#DIV/0!</v>
      </c>
      <c r="P83" s="95" t="e">
        <f t="shared" si="56"/>
        <v>#DIV/0!</v>
      </c>
      <c r="Q83" s="95">
        <f t="shared" si="56"/>
        <v>0.12497235360168771</v>
      </c>
      <c r="R83" s="95">
        <f t="shared" si="56"/>
        <v>0.116837795409224</v>
      </c>
      <c r="S83" s="95">
        <f t="shared" si="56"/>
        <v>0.12652100887978626</v>
      </c>
      <c r="T83" s="95">
        <f t="shared" si="56"/>
        <v>0.12709543743273727</v>
      </c>
      <c r="U83" s="95">
        <f t="shared" si="56"/>
        <v>0.12289027373484755</v>
      </c>
      <c r="V83" s="95">
        <f t="shared" si="56"/>
        <v>0.13215586850459124</v>
      </c>
      <c r="W83" s="161">
        <f>J22/W10</f>
        <v>0.12911829598666877</v>
      </c>
      <c r="X83" s="189" t="s">
        <v>19</v>
      </c>
      <c r="Y83" s="181"/>
    </row>
    <row r="84" spans="1:25" ht="12" customHeight="1">
      <c r="A84" s="4"/>
      <c r="B84" s="4"/>
      <c r="C84" s="4"/>
      <c r="D84" s="4"/>
      <c r="E84" s="4"/>
      <c r="F84" s="4"/>
      <c r="G84" s="4"/>
      <c r="H84" s="57"/>
      <c r="I84" s="57"/>
      <c r="J84" s="57"/>
      <c r="K84" s="57"/>
      <c r="L84" s="52"/>
      <c r="M84" s="4"/>
      <c r="N84" s="106" t="s">
        <v>123</v>
      </c>
      <c r="O84" s="107"/>
      <c r="P84" s="107"/>
      <c r="Q84" s="108">
        <f t="shared" ref="Q84:V84" si="57">D4/Q15</f>
        <v>1.3811407706424339</v>
      </c>
      <c r="R84" s="109">
        <f t="shared" si="57"/>
        <v>1.3541808754032862</v>
      </c>
      <c r="S84" s="127">
        <f t="shared" si="57"/>
        <v>14.438183725460812</v>
      </c>
      <c r="T84" s="127">
        <f t="shared" si="57"/>
        <v>15.62009162303665</v>
      </c>
      <c r="U84" s="104">
        <f t="shared" si="57"/>
        <v>14.697549952426263</v>
      </c>
      <c r="V84" s="104">
        <f t="shared" si="57"/>
        <v>15.09157458563536</v>
      </c>
      <c r="W84" s="159">
        <f>J4/W15</f>
        <v>9.2253172676043427</v>
      </c>
      <c r="X84" s="189" t="s">
        <v>19</v>
      </c>
    </row>
    <row r="85" spans="1:25" ht="12" customHeight="1" thickBot="1">
      <c r="A85" s="4"/>
      <c r="B85" s="4"/>
      <c r="C85" s="4"/>
      <c r="D85" s="4"/>
      <c r="E85" s="4"/>
      <c r="F85" s="4"/>
      <c r="G85" s="4"/>
      <c r="H85" s="57"/>
      <c r="I85" s="57"/>
      <c r="J85" s="57"/>
      <c r="K85" s="57"/>
      <c r="L85" s="57"/>
      <c r="M85" s="4"/>
      <c r="N85" s="110" t="s">
        <v>124</v>
      </c>
      <c r="O85" s="111"/>
      <c r="P85" s="111"/>
      <c r="Q85" s="111"/>
      <c r="R85" s="111"/>
      <c r="S85" s="112">
        <f>(F25+F22)/F22</f>
        <v>0.99397860303590468</v>
      </c>
      <c r="T85" s="112">
        <f t="shared" ref="T85" si="58">(G25+G22)/G22</f>
        <v>1.8611722163628137</v>
      </c>
      <c r="U85" s="112">
        <f>(H25+H22)/H22</f>
        <v>1.1541327254024301</v>
      </c>
      <c r="V85" s="112">
        <f>(I25+I22)/I22</f>
        <v>1.1571589783745202</v>
      </c>
      <c r="W85" s="163">
        <f>(J25+J22)/J22</f>
        <v>0.61727171130898761</v>
      </c>
      <c r="X85" s="189" t="s">
        <v>19</v>
      </c>
    </row>
    <row r="86" spans="1:25" ht="12" customHeight="1">
      <c r="A86" s="4"/>
      <c r="B86" s="4"/>
      <c r="C86" s="4"/>
      <c r="D86" s="4"/>
      <c r="E86" s="4"/>
      <c r="F86" s="4"/>
      <c r="G86" s="4"/>
      <c r="H86" s="52"/>
      <c r="I86" s="52"/>
      <c r="J86" s="52"/>
      <c r="K86" s="52"/>
      <c r="L86" s="57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188"/>
    </row>
    <row r="87" spans="1:25" ht="12" customHeight="1">
      <c r="A87" s="4"/>
      <c r="B87" s="4"/>
      <c r="C87" s="4"/>
      <c r="D87" s="4"/>
      <c r="E87" s="4"/>
      <c r="F87" s="4"/>
      <c r="G87" s="4"/>
      <c r="H87" s="57"/>
      <c r="I87" s="57"/>
      <c r="J87" s="57"/>
      <c r="K87" s="57"/>
      <c r="L87" s="52"/>
      <c r="M87" s="4"/>
      <c r="N87" s="65"/>
      <c r="O87" s="4"/>
      <c r="P87" s="4"/>
      <c r="Q87" s="4"/>
      <c r="R87" s="4"/>
      <c r="S87" s="4"/>
      <c r="T87" s="4"/>
      <c r="U87" s="4"/>
      <c r="V87" s="4"/>
      <c r="W87" s="4"/>
    </row>
    <row r="88" spans="1:25" ht="12" customHeight="1">
      <c r="A88" s="4"/>
      <c r="B88" s="4"/>
      <c r="C88" s="4"/>
      <c r="D88" s="4"/>
      <c r="E88" s="4"/>
      <c r="F88" s="4"/>
      <c r="G88" s="4"/>
      <c r="H88" s="52"/>
      <c r="I88" s="52"/>
      <c r="J88" s="52"/>
      <c r="K88" s="52"/>
      <c r="L88" s="52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5" ht="12" customHeight="1">
      <c r="A89" s="4"/>
      <c r="B89" s="4"/>
      <c r="C89" s="4"/>
      <c r="D89" s="4"/>
      <c r="E89" s="4"/>
      <c r="F89" s="4"/>
      <c r="G89" s="4"/>
      <c r="H89" s="15"/>
      <c r="I89" s="15"/>
      <c r="J89" s="15"/>
      <c r="K89" s="15"/>
      <c r="L89" s="6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5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5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5" ht="12" customHeight="1">
      <c r="A91" s="4"/>
      <c r="B91" s="4"/>
      <c r="C91" s="4"/>
      <c r="D91" s="4"/>
      <c r="E91" s="4"/>
      <c r="F91" s="4"/>
      <c r="G91" s="4"/>
      <c r="H91" s="66"/>
      <c r="I91" s="66"/>
      <c r="J91" s="66"/>
      <c r="K91" s="66"/>
      <c r="L91" s="57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5" ht="12" customHeight="1">
      <c r="A92" s="4"/>
      <c r="B92" s="4"/>
      <c r="C92" s="4"/>
      <c r="D92" s="4"/>
      <c r="E92" s="4"/>
      <c r="F92" s="4"/>
      <c r="G92" s="4"/>
      <c r="H92" s="57"/>
      <c r="I92" s="57"/>
      <c r="J92" s="57"/>
      <c r="K92" s="57"/>
      <c r="L92" s="57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5" ht="12" customHeight="1">
      <c r="A93" s="4"/>
      <c r="B93" s="4"/>
      <c r="C93" s="4"/>
      <c r="D93" s="4"/>
      <c r="E93" s="4"/>
      <c r="F93" s="4"/>
      <c r="G93" s="4"/>
      <c r="H93" s="57"/>
      <c r="I93" s="57"/>
      <c r="J93" s="57"/>
      <c r="K93" s="57"/>
      <c r="L93" s="5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5" ht="12" customHeight="1">
      <c r="A94" s="4"/>
      <c r="B94" s="4"/>
      <c r="C94" s="4"/>
      <c r="D94" s="4"/>
      <c r="E94" s="4"/>
      <c r="F94" s="4"/>
      <c r="G94" s="4"/>
      <c r="H94" s="57"/>
      <c r="I94" s="57"/>
      <c r="J94" s="57"/>
      <c r="K94" s="57"/>
      <c r="L94" s="57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5" ht="12" customHeight="1">
      <c r="A95" s="4"/>
      <c r="B95" s="4"/>
      <c r="C95" s="4"/>
      <c r="D95" s="4"/>
      <c r="E95" s="4"/>
      <c r="F95" s="4"/>
      <c r="G95" s="4"/>
      <c r="H95" s="52"/>
      <c r="I95" s="52"/>
      <c r="J95" s="52"/>
      <c r="K95" s="52"/>
      <c r="L95" s="57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5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52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5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52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15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66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5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57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5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52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2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2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2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2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2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2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2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2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2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2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2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2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2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2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2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2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2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2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2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2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2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2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2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2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2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2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2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2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2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2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2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2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2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2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2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2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2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2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2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2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2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2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2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2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2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2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2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2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2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2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2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2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2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2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2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2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2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2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2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2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2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2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2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2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2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2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2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2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2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2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2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2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2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2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2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2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2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2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2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2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2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2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2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2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2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2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2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2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2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2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2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2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2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2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2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2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2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2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2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2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2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2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2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2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2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2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2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2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2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2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2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2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2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2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2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2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2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2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2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2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2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2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2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2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2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2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2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2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2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2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2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2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2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2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2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2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2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2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2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2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2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2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2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2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2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2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2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2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2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2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2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2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2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2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2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2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2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2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2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2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2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2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2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2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2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2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2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2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2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2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2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2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2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2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2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2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2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2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2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2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2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2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2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2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2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2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2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2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2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2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2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2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2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2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2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2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2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2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2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2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2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2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2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2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2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2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2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2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2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2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2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2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2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2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2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2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2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2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2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2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2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2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2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2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2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2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2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2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2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2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2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2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2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2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2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2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2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2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2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2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2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2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2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2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2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2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2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2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2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2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2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2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2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2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2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2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2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2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2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2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2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2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2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2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2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2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2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2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2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2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2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2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2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2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2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2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2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2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2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2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2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2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2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2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2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2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2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2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2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2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2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2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2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2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2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2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2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2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2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2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2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2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2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2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2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2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2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2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2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2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2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2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2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2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2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2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2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2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2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2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2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2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2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2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2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2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2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2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2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2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2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2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2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2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2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2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2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2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2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2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2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2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2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2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2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2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2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2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2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2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2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2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2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2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2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2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2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2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2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2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2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2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2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2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2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2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2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2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2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2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2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2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2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2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2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2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2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2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2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2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2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2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2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2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2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2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2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2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2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2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2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2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2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2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2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2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2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2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2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2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2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2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2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2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2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2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2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2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2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2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2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2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2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2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2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2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2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2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2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2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2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2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2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2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2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2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2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2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2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2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2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2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2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2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2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2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2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2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2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2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2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2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2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2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2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2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2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2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2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2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2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2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2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2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2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2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2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2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2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2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2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2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2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2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2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2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2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2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2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2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2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2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2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2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2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2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2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2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2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2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2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2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2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2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2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2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2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2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2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2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2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2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2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2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2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2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2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2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2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2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2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2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2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2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2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2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2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2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2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2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2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2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2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2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2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2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2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2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2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2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2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2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2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2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2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2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2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2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2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2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2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2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2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2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2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2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2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2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2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2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2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2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2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2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2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2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2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2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2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2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2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2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2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2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2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2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2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2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2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2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2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2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2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2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2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2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2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2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2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2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2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2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2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2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2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2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2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2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2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2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2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2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2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2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2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2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2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2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2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2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2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2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2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2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2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2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2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2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2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2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2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2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2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2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2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2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2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2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2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2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2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2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2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2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2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2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2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2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2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2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2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2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2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2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2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2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2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2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2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2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2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2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2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2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2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2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2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2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2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2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2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2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2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2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2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2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2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2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2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2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2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2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2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2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2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2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2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2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2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2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2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2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2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2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2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2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2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2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2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2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2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2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2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2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2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2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2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2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2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2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2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2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2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2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2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2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2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2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2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2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2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2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2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2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2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2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2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2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2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2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2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2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2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2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2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2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2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2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2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2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2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2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2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2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2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2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2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2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2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2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2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2" customHeight="1"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2" customHeight="1"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2" customHeight="1"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2" customHeight="1"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2:23" ht="12" customHeight="1"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2:23" ht="12" customHeight="1"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2:23" ht="12" customHeight="1"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2:23" ht="12" customHeight="1"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2:23" ht="12" customHeight="1"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2:23" ht="12" customHeight="1"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2:23" ht="12" customHeight="1"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2:23" ht="12" customHeight="1"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</sheetData>
  <mergeCells count="3">
    <mergeCell ref="A1:W1"/>
    <mergeCell ref="A2:K2"/>
    <mergeCell ref="N2:X2"/>
  </mergeCells>
  <pageMargins left="0.7" right="0.7" top="0.75" bottom="0.75" header="0.3" footer="0.3"/>
  <pageSetup orientation="portrait" r:id="rId1"/>
  <ignoredErrors>
    <ignoredError sqref="S11:V11 S30:W30 W78:W80 V80 W11:X11" formulaRange="1"/>
    <ignoredError sqref="S82:V82 S78:S81" formula="1"/>
    <ignoredError sqref="T78:V79 T81:V81 T80:U80" formula="1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F2k</dc:creator>
  <cp:lastModifiedBy>Hp</cp:lastModifiedBy>
  <cp:lastPrinted>2024-11-29T07:23:12Z</cp:lastPrinted>
  <dcterms:created xsi:type="dcterms:W3CDTF">2024-11-17T08:43:36Z</dcterms:created>
  <dcterms:modified xsi:type="dcterms:W3CDTF">2025-11-19T09:23:09Z</dcterms:modified>
</cp:coreProperties>
</file>