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Q1-FY26\Patel\"/>
    </mc:Choice>
  </mc:AlternateContent>
  <xr:revisionPtr revIDLastSave="0" documentId="8_{27CC7DE1-4D05-4F3C-A08A-7C6C60CF6CEC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7" i="1" l="1"/>
  <c r="N64" i="1"/>
  <c r="G57" i="1"/>
  <c r="G59" i="1" s="1"/>
  <c r="G33" i="1"/>
  <c r="G25" i="1"/>
  <c r="G11" i="1"/>
  <c r="G18" i="1" s="1"/>
  <c r="G20" i="1" s="1"/>
  <c r="G27" i="1" l="1"/>
  <c r="G26" i="1"/>
  <c r="G12" i="1"/>
  <c r="K11" i="1"/>
  <c r="L11" i="1"/>
  <c r="M11" i="1"/>
  <c r="K10" i="1"/>
  <c r="K12" i="1" s="1"/>
  <c r="L10" i="1"/>
  <c r="L12" i="1" s="1"/>
  <c r="M10" i="1"/>
  <c r="J10" i="1"/>
  <c r="J11" i="1"/>
  <c r="D48" i="1"/>
  <c r="D49" i="1" s="1"/>
  <c r="D11" i="1"/>
  <c r="C11" i="1"/>
  <c r="E11" i="1"/>
  <c r="L78" i="1"/>
  <c r="M78" i="1"/>
  <c r="K78" i="1"/>
  <c r="K77" i="1"/>
  <c r="K80" i="1" s="1"/>
  <c r="L77" i="1"/>
  <c r="M77" i="1"/>
  <c r="M80" i="1" s="1"/>
  <c r="J78" i="1"/>
  <c r="J77" i="1"/>
  <c r="D57" i="1"/>
  <c r="E57" i="1"/>
  <c r="F57" i="1"/>
  <c r="C57" i="1"/>
  <c r="L40" i="1"/>
  <c r="M40" i="1"/>
  <c r="M8" i="1"/>
  <c r="M65" i="1" s="1"/>
  <c r="F59" i="1"/>
  <c r="C61" i="1"/>
  <c r="D61" i="1"/>
  <c r="E61" i="1"/>
  <c r="F61" i="1"/>
  <c r="C60" i="1"/>
  <c r="D60" i="1"/>
  <c r="E60" i="1"/>
  <c r="F60" i="1"/>
  <c r="F48" i="1"/>
  <c r="F49" i="1" s="1"/>
  <c r="E48" i="1"/>
  <c r="E49" i="1" s="1"/>
  <c r="F41" i="1"/>
  <c r="E41" i="1"/>
  <c r="F7" i="1"/>
  <c r="E7" i="1"/>
  <c r="F6" i="1"/>
  <c r="E6" i="1"/>
  <c r="D6" i="1"/>
  <c r="L80" i="1" l="1"/>
  <c r="J12" i="1"/>
  <c r="M12" i="1"/>
  <c r="M14" i="1" s="1"/>
  <c r="G28" i="1"/>
  <c r="G34" i="1"/>
  <c r="J80" i="1"/>
  <c r="E18" i="1"/>
  <c r="F62" i="1"/>
  <c r="E12" i="1" l="1"/>
  <c r="D12" i="1"/>
  <c r="D59" i="1" l="1"/>
  <c r="E59" i="1"/>
  <c r="C59" i="1"/>
  <c r="K54" i="1"/>
  <c r="L54" i="1"/>
  <c r="M54" i="1"/>
  <c r="J54" i="1"/>
  <c r="F33" i="1" l="1"/>
  <c r="E33" i="1"/>
  <c r="D25" i="1"/>
  <c r="F25" i="1"/>
  <c r="E25" i="1"/>
  <c r="D33" i="1" l="1"/>
  <c r="C33" i="1"/>
  <c r="C25" i="1"/>
  <c r="F11" i="1"/>
  <c r="D40" i="1"/>
  <c r="E40" i="1"/>
  <c r="F40" i="1"/>
  <c r="C48" i="1"/>
  <c r="C49" i="1" s="1"/>
  <c r="C52" i="1"/>
  <c r="C54" i="1" s="1"/>
  <c r="D52" i="1"/>
  <c r="E52" i="1"/>
  <c r="E54" i="1" s="1"/>
  <c r="F52" i="1"/>
  <c r="F54" i="1" s="1"/>
  <c r="E62" i="1"/>
  <c r="C62" i="1"/>
  <c r="D62" i="1"/>
  <c r="F18" i="1" l="1"/>
  <c r="F20" i="1" s="1"/>
  <c r="F27" i="1" s="1"/>
  <c r="F13" i="1"/>
  <c r="C18" i="1"/>
  <c r="C20" i="1" s="1"/>
  <c r="C27" i="1" s="1"/>
  <c r="D13" i="1"/>
  <c r="E14" i="1"/>
  <c r="F14" i="1"/>
  <c r="C12" i="1"/>
  <c r="F12" i="1"/>
  <c r="D18" i="1"/>
  <c r="D20" i="1" s="1"/>
  <c r="D27" i="1" s="1"/>
  <c r="E13" i="1"/>
  <c r="D54" i="1"/>
  <c r="E20" i="1"/>
  <c r="E27" i="1" s="1"/>
  <c r="M75" i="1"/>
  <c r="M69" i="1"/>
  <c r="M64" i="1"/>
  <c r="M67" i="1" s="1"/>
  <c r="L64" i="1"/>
  <c r="K64" i="1"/>
  <c r="K67" i="1" s="1"/>
  <c r="M76" i="1" l="1"/>
  <c r="C26" i="1"/>
  <c r="F30" i="1"/>
  <c r="E30" i="1"/>
  <c r="F26" i="1"/>
  <c r="D26" i="1"/>
  <c r="D28" i="1"/>
  <c r="E26" i="1"/>
  <c r="D29" i="1"/>
  <c r="C34" i="1"/>
  <c r="C28" i="1"/>
  <c r="L75" i="1"/>
  <c r="L67" i="1"/>
  <c r="M46" i="1"/>
  <c r="M28" i="1"/>
  <c r="M7" i="1"/>
  <c r="M68" i="1"/>
  <c r="M81" i="1" l="1"/>
  <c r="F28" i="1"/>
  <c r="F34" i="1"/>
  <c r="F36" i="1" s="1"/>
  <c r="D34" i="1"/>
  <c r="D35" i="1" s="1"/>
  <c r="M73" i="1"/>
  <c r="M74" i="1"/>
  <c r="M71" i="1"/>
  <c r="E29" i="1"/>
  <c r="E34" i="1"/>
  <c r="E36" i="1" s="1"/>
  <c r="E28" i="1"/>
  <c r="F29" i="1"/>
  <c r="M59" i="1"/>
  <c r="M60" i="1" s="1"/>
  <c r="M56" i="1"/>
  <c r="M58" i="1"/>
  <c r="M72" i="1"/>
  <c r="E35" i="1" l="1"/>
  <c r="F35" i="1"/>
  <c r="K75" i="1"/>
  <c r="J69" i="1" l="1"/>
  <c r="J76" i="1" l="1"/>
  <c r="K76" i="1"/>
  <c r="J7" i="1"/>
  <c r="K7" i="1"/>
  <c r="L7" i="1"/>
  <c r="L81" i="1"/>
  <c r="L46" i="1"/>
  <c r="L28" i="1"/>
  <c r="L8" i="1"/>
  <c r="L65" i="1" s="1"/>
  <c r="L68" i="1" s="1"/>
  <c r="J64" i="1"/>
  <c r="J67" i="1" s="1"/>
  <c r="L58" i="1" l="1"/>
  <c r="L73" i="1"/>
  <c r="L74" i="1"/>
  <c r="L59" i="1"/>
  <c r="L60" i="1" s="1"/>
  <c r="M70" i="1" s="1"/>
  <c r="L14" i="1"/>
  <c r="L56" i="1"/>
  <c r="L69" i="1"/>
  <c r="K69" i="1"/>
  <c r="K28" i="1"/>
  <c r="J46" i="1"/>
  <c r="J59" i="1" s="1"/>
  <c r="K40" i="1"/>
  <c r="J40" i="1"/>
  <c r="J28" i="1"/>
  <c r="K8" i="1"/>
  <c r="J8" i="1"/>
  <c r="J65" i="1" l="1"/>
  <c r="J68" i="1" s="1"/>
  <c r="J14" i="1"/>
  <c r="J60" i="1"/>
  <c r="L76" i="1"/>
  <c r="L72" i="1"/>
  <c r="J72" i="1"/>
  <c r="J74" i="1"/>
  <c r="J73" i="1"/>
  <c r="K65" i="1"/>
  <c r="K68" i="1" s="1"/>
  <c r="K14" i="1"/>
  <c r="K72" i="1" s="1"/>
  <c r="K74" i="1"/>
  <c r="K73" i="1"/>
  <c r="J81" i="1"/>
  <c r="J58" i="1"/>
  <c r="J56" i="1"/>
  <c r="K81" i="1"/>
  <c r="K58" i="1"/>
  <c r="K56" i="1"/>
  <c r="K46" i="1"/>
  <c r="L71" i="1" l="1"/>
  <c r="K59" i="1"/>
  <c r="K60" i="1" s="1"/>
  <c r="L70" i="1" s="1"/>
  <c r="K70" i="1" l="1"/>
  <c r="J71" i="1"/>
  <c r="K71" i="1"/>
</calcChain>
</file>

<file path=xl/sharedStrings.xml><?xml version="1.0" encoding="utf-8"?>
<sst xmlns="http://schemas.openxmlformats.org/spreadsheetml/2006/main" count="203" uniqueCount="127">
  <si>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</si>
  <si>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</si>
  <si>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</si>
  <si>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</si>
  <si>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</si>
  <si>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</si>
  <si>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</si>
  <si>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</si>
  <si>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</si>
  <si>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</si>
  <si>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</si>
  <si>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</si>
  <si>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</si>
  <si>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</si>
  <si>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>d) Other Intangible Assets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</si>
  <si>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</si>
  <si>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</si>
  <si>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</si>
  <si>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</si>
  <si>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</si>
  <si>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</si>
  <si>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</si>
  <si>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</si>
  <si>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</si>
  <si>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</si>
  <si>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</si>
  <si>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</si>
  <si>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</si>
  <si>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</si>
  <si>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</si>
  <si>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</si>
  <si>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</si>
  <si>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</si>
  <si>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</si>
  <si>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</si>
  <si>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</si>
  <si>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</si>
  <si>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</si>
  <si>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</si>
  <si>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</si>
  <si>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</si>
  <si>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</si>
  <si>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</si>
  <si>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</si>
  <si>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</si>
  <si>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</si>
  <si>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</si>
  <si>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</si>
  <si>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</si>
  <si>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</si>
  <si>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</si>
  <si>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</si>
  <si>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</si>
  <si>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</si>
  <si>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a) Current</t>
  </si>
  <si>
    <t>Effective tax rate (%)</t>
  </si>
  <si>
    <t>Total Taxes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</si>
  <si>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</si>
  <si>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</si>
  <si>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</si>
  <si>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</si>
  <si>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</si>
  <si>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</si>
  <si>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</si>
  <si>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</si>
  <si>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</si>
  <si>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</si>
  <si>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</si>
  <si>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</si>
  <si>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</si>
  <si>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</si>
  <si>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</si>
  <si>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</si>
  <si>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</si>
  <si>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</si>
  <si>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</si>
  <si>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</si>
  <si>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</si>
  <si>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</si>
  <si>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</si>
  <si>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</si>
  <si>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</si>
  <si>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</si>
  <si>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</si>
  <si>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</si>
  <si>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</si>
  <si>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</si>
  <si>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</si>
  <si>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</si>
  <si>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</si>
  <si>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</si>
  <si>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</si>
  <si>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</si>
  <si>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BVPS (₹)</t>
  </si>
  <si>
    <t>DPS (₹)</t>
  </si>
  <si>
    <t>EPS (₹)</t>
  </si>
  <si>
    <t>CMP (As per Stock Price at BSE) (₹)</t>
  </si>
  <si>
    <t>Asset Tunover</t>
  </si>
  <si>
    <t>Ratios</t>
  </si>
  <si>
    <t xml:space="preserve">PBT Before Exceptional Items &amp; Tax </t>
  </si>
  <si>
    <t xml:space="preserve">Exceptional Items 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</si>
  <si>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</si>
  <si>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</si>
  <si>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</si>
  <si>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</si>
  <si>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</si>
  <si>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</si>
  <si>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</si>
  <si>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</si>
  <si>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</si>
  <si>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>Operating Cost</t>
  </si>
  <si>
    <t>Employee Benefits Expense</t>
  </si>
  <si>
    <t>b) Deferred</t>
  </si>
  <si>
    <t>c) Excess</t>
  </si>
  <si>
    <t>a) Items that may not be reclassified to P&amp;L</t>
  </si>
  <si>
    <t>Net Change in Cash and Cash Equivalent</t>
  </si>
  <si>
    <t>b) Capital Work in Progress</t>
  </si>
  <si>
    <t>c) Investment Property</t>
  </si>
  <si>
    <t xml:space="preserve">i) Non-current Investments </t>
  </si>
  <si>
    <t>e) Financial Assets:</t>
  </si>
  <si>
    <t>g) Other Non Current Assets</t>
  </si>
  <si>
    <t xml:space="preserve">i)  Current Investments </t>
  </si>
  <si>
    <t xml:space="preserve">ii) Other Financial Liabilities </t>
  </si>
  <si>
    <t>ii) Trade Payables</t>
  </si>
  <si>
    <t>iii) Other Financial Liabilities</t>
  </si>
  <si>
    <t>Q1-FY26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</si>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</sst>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_ * #,##0_ ;_ * \-#,##0_ ;_ * &quot;-&quot;??_ ;_ @_ "/>
    <numFmt numFmtId="168" formatCode="0.0%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0"/>
      <color rgb="FF000000"/>
      <name val="MyFirstFont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164" fontId="0" fillId="2" borderId="1" xfId="0" applyNumberFormat="1" applyFill="1" applyBorder="1"/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9" fontId="0" fillId="3" borderId="1" xfId="2" applyFont="1" applyFill="1" applyBorder="1" applyAlignment="1">
      <alignment horizontal="center"/>
    </xf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0" fontId="0" fillId="5" borderId="0" xfId="0" applyFill="1"/>
    <xf numFmtId="0" fontId="0" fillId="2" borderId="1" xfId="0" applyFill="1" applyBorder="1"/>
    <xf numFmtId="0" fontId="6" fillId="6" borderId="1" xfId="0" applyFont="1" applyFill="1" applyBorder="1"/>
    <xf numFmtId="10" fontId="8" fillId="6" borderId="1" xfId="0" applyNumberFormat="1" applyFont="1" applyFill="1" applyBorder="1"/>
    <xf numFmtId="10" fontId="8" fillId="6" borderId="1" xfId="0" applyNumberFormat="1" applyFont="1" applyFill="1" applyBorder="1" applyAlignment="1">
      <alignment horizontal="right"/>
    </xf>
    <xf numFmtId="0" fontId="5" fillId="6" borderId="1" xfId="0" applyFont="1" applyFill="1" applyBorder="1"/>
    <xf numFmtId="0" fontId="7" fillId="6" borderId="1" xfId="0" applyFont="1" applyFill="1" applyBorder="1"/>
    <xf numFmtId="10" fontId="0" fillId="0" borderId="0" xfId="0" applyNumberFormat="1"/>
    <xf numFmtId="43" fontId="0" fillId="0" borderId="1" xfId="1" applyFont="1" applyFill="1" applyBorder="1"/>
    <xf numFmtId="166" fontId="7" fillId="6" borderId="1" xfId="1" applyNumberFormat="1" applyFont="1" applyFill="1" applyBorder="1"/>
    <xf numFmtId="164" fontId="2" fillId="2" borderId="1" xfId="0" applyNumberFormat="1" applyFont="1" applyFill="1" applyBorder="1"/>
    <xf numFmtId="166" fontId="3" fillId="2" borderId="1" xfId="1" applyNumberFormat="1" applyFont="1" applyFill="1" applyBorder="1"/>
    <xf numFmtId="164" fontId="3" fillId="2" borderId="1" xfId="1" applyNumberFormat="1" applyFont="1" applyFill="1" applyBorder="1"/>
    <xf numFmtId="167" fontId="3" fillId="2" borderId="1" xfId="1" applyNumberFormat="1" applyFont="1" applyFill="1" applyBorder="1"/>
    <xf numFmtId="1" fontId="2" fillId="2" borderId="1" xfId="0" applyNumberFormat="1" applyFont="1" applyFill="1" applyBorder="1"/>
    <xf numFmtId="43" fontId="0" fillId="0" borderId="1" xfId="1" applyFont="1" applyFill="1" applyBorder="1" applyAlignment="1">
      <alignment horizontal="right"/>
    </xf>
    <xf numFmtId="2" fontId="0" fillId="0" borderId="1" xfId="0" applyNumberFormat="1" applyBorder="1"/>
    <xf numFmtId="166" fontId="0" fillId="0" borderId="1" xfId="1" applyNumberFormat="1" applyFont="1" applyFill="1" applyBorder="1"/>
    <xf numFmtId="164" fontId="0" fillId="0" borderId="1" xfId="1" applyNumberFormat="1" applyFont="1" applyFill="1" applyBorder="1"/>
    <xf numFmtId="165" fontId="0" fillId="0" borderId="1" xfId="0" applyNumberForma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168" fontId="0" fillId="0" borderId="1" xfId="2" applyNumberFormat="1" applyFont="1" applyFill="1" applyBorder="1"/>
    <xf numFmtId="10" fontId="0" fillId="0" borderId="1" xfId="2" applyNumberFormat="1" applyFont="1" applyFill="1" applyBorder="1"/>
    <xf numFmtId="2" fontId="0" fillId="0" borderId="1" xfId="2" applyNumberFormat="1" applyFont="1" applyFill="1" applyBorder="1"/>
    <xf numFmtId="43" fontId="0" fillId="0" borderId="1" xfId="1" applyFont="1" applyFill="1" applyBorder="1" applyAlignment="1">
      <alignment horizontal="center"/>
    </xf>
    <xf numFmtId="164" fontId="10" fillId="0" borderId="1" xfId="0" applyNumberFormat="1" applyFont="1" applyBorder="1"/>
    <xf numFmtId="164" fontId="11" fillId="2" borderId="1" xfId="0" applyNumberFormat="1" applyFont="1" applyFill="1" applyBorder="1"/>
    <xf numFmtId="10" fontId="12" fillId="6" borderId="1" xfId="0" applyNumberFormat="1" applyFont="1" applyFill="1" applyBorder="1" applyAlignment="1">
      <alignment horizontal="right"/>
    </xf>
    <xf numFmtId="43" fontId="10" fillId="0" borderId="1" xfId="0" applyNumberFormat="1" applyFont="1" applyBorder="1"/>
    <xf numFmtId="43" fontId="10" fillId="0" borderId="1" xfId="1" applyFont="1" applyFill="1" applyBorder="1" applyAlignment="1">
      <alignment horizontal="right"/>
    </xf>
    <xf numFmtId="164" fontId="10" fillId="0" borderId="0" xfId="0" applyNumberFormat="1" applyFont="1"/>
    <xf numFmtId="0" fontId="10" fillId="0" borderId="0" xfId="0" applyFont="1"/>
    <xf numFmtId="2" fontId="10" fillId="0" borderId="1" xfId="0" applyNumberFormat="1" applyFont="1" applyBorder="1"/>
    <xf numFmtId="4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3" fontId="9" fillId="0" borderId="0" xfId="0" applyNumberFormat="1" applyFont="1"/>
    <xf numFmtId="166" fontId="0" fillId="0" borderId="0" xfId="1" applyNumberFormat="1" applyFont="1" applyFill="1" applyBorder="1"/>
    <xf numFmtId="164" fontId="0" fillId="0" borderId="0" xfId="1" applyNumberFormat="1" applyFont="1" applyFill="1" applyBorder="1"/>
    <xf numFmtId="0" fontId="0" fillId="3" borderId="2" xfId="0" applyFill="1" applyBorder="1" applyAlignment="1">
      <alignment horizontal="center"/>
    </xf>
    <xf numFmtId="164" fontId="11" fillId="2" borderId="2" xfId="0" applyNumberFormat="1" applyFont="1" applyFill="1" applyBorder="1"/>
    <xf numFmtId="10" fontId="8" fillId="6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43" fontId="10" fillId="0" borderId="2" xfId="0" applyNumberFormat="1" applyFont="1" applyBorder="1"/>
    <xf numFmtId="164" fontId="2" fillId="2" borderId="2" xfId="0" applyNumberFormat="1" applyFont="1" applyFill="1" applyBorder="1"/>
    <xf numFmtId="43" fontId="10" fillId="0" borderId="2" xfId="0" applyNumberFormat="1" applyFont="1" applyBorder="1" applyAlignment="1">
      <alignment horizontal="center" vertical="center"/>
    </xf>
    <xf numFmtId="164" fontId="0" fillId="0" borderId="2" xfId="0" applyNumberFormat="1" applyBorder="1"/>
    <xf numFmtId="10" fontId="12" fillId="6" borderId="2" xfId="0" applyNumberFormat="1" applyFont="1" applyFill="1" applyBorder="1" applyAlignment="1">
      <alignment horizontal="right"/>
    </xf>
    <xf numFmtId="43" fontId="10" fillId="0" borderId="2" xfId="1" applyFont="1" applyFill="1" applyBorder="1" applyAlignment="1">
      <alignment horizontal="right"/>
    </xf>
    <xf numFmtId="2" fontId="10" fillId="0" borderId="2" xfId="0" applyNumberFormat="1" applyFont="1" applyBorder="1"/>
    <xf numFmtId="0" fontId="0" fillId="0" borderId="0" xfId="0" applyAlignment="1">
      <alignment horizontal="center"/>
    </xf>
    <xf numFmtId="166" fontId="7" fillId="0" borderId="0" xfId="1" applyNumberFormat="1" applyFont="1" applyFill="1" applyBorder="1"/>
    <xf numFmtId="166" fontId="3" fillId="0" borderId="0" xfId="1" applyNumberFormat="1" applyFont="1" applyFill="1" applyBorder="1"/>
    <xf numFmtId="164" fontId="3" fillId="0" borderId="0" xfId="1" applyNumberFormat="1" applyFont="1" applyFill="1" applyBorder="1"/>
    <xf numFmtId="0" fontId="10" fillId="3" borderId="2" xfId="0" applyFont="1" applyFill="1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4" fontId="0" fillId="0" borderId="2" xfId="1" applyNumberFormat="1" applyFont="1" applyFill="1" applyBorder="1"/>
    <xf numFmtId="167" fontId="3" fillId="2" borderId="2" xfId="1" applyNumberFormat="1" applyFont="1" applyFill="1" applyBorder="1"/>
    <xf numFmtId="3" fontId="9" fillId="0" borderId="1" xfId="0" applyNumberFormat="1" applyFont="1" applyBorder="1"/>
    <xf numFmtId="164" fontId="0" fillId="0" borderId="1" xfId="1" applyNumberFormat="1" applyFont="1" applyFill="1" applyBorder="1" applyAlignment="1">
      <alignment horizontal="right"/>
    </xf>
    <xf numFmtId="167" fontId="3" fillId="2" borderId="1" xfId="1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0" fillId="0" borderId="1" xfId="0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02"/>
  <sheetViews>
    <sheetView tabSelected="1" zoomScale="70" zoomScaleNormal="70" workbookViewId="0">
      <pane ySplit="4" topLeftCell="A5" activePane="bottomLeft" state="frozen"/>
      <selection pane="bottomLeft" activeCell="G60" sqref="G60"/>
    </sheetView>
  </sheetViews>
  <sheetFormatPr defaultRowHeight="14.4"/>
  <cols>
    <col min="2" max="2" width="50.6640625" customWidth="1"/>
    <col min="3" max="4" width="14.44140625" bestFit="1" customWidth="1"/>
    <col min="5" max="5" width="16" bestFit="1" customWidth="1"/>
    <col min="6" max="6" width="14.44140625" bestFit="1" customWidth="1"/>
    <col min="7" max="7" width="14.44140625" customWidth="1"/>
    <col min="8" max="8" width="4.109375" customWidth="1"/>
    <col min="9" max="9" width="50.6640625" customWidth="1"/>
    <col min="10" max="10" width="14.44140625" bestFit="1" customWidth="1"/>
    <col min="11" max="11" width="12.6640625" bestFit="1" customWidth="1"/>
    <col min="12" max="13" width="14.44140625" bestFit="1" customWidth="1"/>
    <col min="15" max="15" width="43.44140625" bestFit="1" customWidth="1"/>
  </cols>
  <sheetData>
    <row r="2" spans="1:14" ht="19.5" customHeight="1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4" ht="14.25" customHeight="1">
      <c r="B3" s="86" t="s">
        <v>41</v>
      </c>
      <c r="C3" s="87"/>
      <c r="D3" s="87"/>
      <c r="E3" s="87"/>
      <c r="F3" s="87"/>
      <c r="G3" s="88"/>
      <c r="H3" s="20"/>
      <c r="I3" s="83" t="s">
        <v>40</v>
      </c>
      <c r="J3" s="84"/>
      <c r="K3" s="84"/>
      <c r="L3" s="84"/>
      <c r="M3" s="84"/>
    </row>
    <row r="4" spans="1:14">
      <c r="B4" s="14" t="s">
        <v>0</v>
      </c>
      <c r="C4" s="12" t="s">
        <v>1</v>
      </c>
      <c r="D4" s="12" t="s">
        <v>2</v>
      </c>
      <c r="E4" s="12" t="s">
        <v>101</v>
      </c>
      <c r="F4" s="59" t="s">
        <v>109</v>
      </c>
      <c r="G4" s="12" t="s">
        <v>125</v>
      </c>
      <c r="H4" s="20"/>
      <c r="I4" s="14" t="s">
        <v>0</v>
      </c>
      <c r="J4" s="12" t="s">
        <v>1</v>
      </c>
      <c r="K4" s="12" t="s">
        <v>2</v>
      </c>
      <c r="L4" s="12" t="s">
        <v>101</v>
      </c>
      <c r="M4" s="12" t="s">
        <v>109</v>
      </c>
    </row>
    <row r="5" spans="1:14">
      <c r="B5" s="8" t="s">
        <v>42</v>
      </c>
      <c r="C5" s="30">
        <v>2343.1</v>
      </c>
      <c r="D5" s="30">
        <v>2782.7</v>
      </c>
      <c r="E5" s="30">
        <v>2905.4</v>
      </c>
      <c r="F5" s="60">
        <v>3426.9</v>
      </c>
      <c r="G5" s="46">
        <v>779.81200000000001</v>
      </c>
      <c r="H5" s="20"/>
      <c r="I5" s="1" t="s">
        <v>3</v>
      </c>
      <c r="J5" s="4">
        <v>360.3</v>
      </c>
      <c r="K5" s="4">
        <v>649.4</v>
      </c>
      <c r="L5" s="4">
        <v>645.79999999999995</v>
      </c>
      <c r="M5" s="4">
        <v>695.8</v>
      </c>
    </row>
    <row r="6" spans="1:14">
      <c r="B6" s="25" t="s">
        <v>43</v>
      </c>
      <c r="C6" s="24"/>
      <c r="D6" s="24">
        <f>IF(D5/C5-1&gt;100%,"N.A.",IF(D5/C5-1&lt;-100%,"N.A.",(D5/C5-1)))</f>
        <v>0.18761469847637735</v>
      </c>
      <c r="E6" s="24">
        <f>IF(E5/D5-1&gt;100%,"N.A.",IF(E5/D5-1&lt;-100%,"N.A.",(E5/D5-1)))</f>
        <v>4.4093865670032706E-2</v>
      </c>
      <c r="F6" s="61">
        <f>IF(F5/E5-1&gt;100%,"N.A.",IF(F5/E5-1&lt;-100%,"N.A.",(F5/E5-1)))</f>
        <v>0.1794933571969437</v>
      </c>
      <c r="G6" s="24" t="s">
        <v>108</v>
      </c>
      <c r="H6" s="20"/>
      <c r="I6" s="1" t="s">
        <v>7</v>
      </c>
      <c r="J6" s="4">
        <v>812.1</v>
      </c>
      <c r="K6" s="4">
        <v>527.4</v>
      </c>
      <c r="L6" s="4">
        <v>547.29999999999995</v>
      </c>
      <c r="M6" s="4">
        <v>520.70000000000005</v>
      </c>
    </row>
    <row r="7" spans="1:14">
      <c r="B7" s="25" t="s">
        <v>44</v>
      </c>
      <c r="C7" s="23"/>
      <c r="D7" s="24"/>
      <c r="E7" s="24">
        <f>IF((E5/C5)^(1/3)-1&lt;-100%,"N.A.",IF((E5/C5)^(1/3)-1&gt;100%,"N.A.",((E5/C5)^(1/3)-1)))</f>
        <v>7.4331647713470783E-2</v>
      </c>
      <c r="F7" s="61">
        <f>IF((F5/C5)^(1/3)-1&lt;-100%,"N.A.",IF((F5/C5)^(1/3)-1&gt;100%,"N.A.",((F5/C5)^(1/3)-1)))</f>
        <v>0.13510717580295006</v>
      </c>
      <c r="G7" s="24" t="s">
        <v>108</v>
      </c>
      <c r="H7" s="20"/>
      <c r="I7" s="8" t="s">
        <v>8</v>
      </c>
      <c r="J7" s="30">
        <f t="shared" ref="J7:K7" si="0">SUM(J5:J6)+J9</f>
        <v>1172.4000000000001</v>
      </c>
      <c r="K7" s="30">
        <f t="shared" si="0"/>
        <v>1176.8</v>
      </c>
      <c r="L7" s="30">
        <f>SUM(L5:L6)+L9</f>
        <v>1193.0999999999999</v>
      </c>
      <c r="M7" s="30">
        <f>SUM(M5:M6)+M9</f>
        <v>1216.5</v>
      </c>
    </row>
    <row r="8" spans="1:14">
      <c r="B8" t="s">
        <v>110</v>
      </c>
      <c r="C8" s="4">
        <v>2100.989</v>
      </c>
      <c r="D8" s="4">
        <v>2492.6999999999998</v>
      </c>
      <c r="E8" s="4">
        <v>2616.1999999999998</v>
      </c>
      <c r="F8" s="62">
        <v>3132.08</v>
      </c>
      <c r="G8" s="45">
        <v>706.38</v>
      </c>
      <c r="H8" s="20"/>
      <c r="I8" s="8" t="s">
        <v>9</v>
      </c>
      <c r="J8" s="30">
        <f>SUM(J5:J6)</f>
        <v>1172.4000000000001</v>
      </c>
      <c r="K8" s="30">
        <f>SUM(K5:K6)</f>
        <v>1176.8</v>
      </c>
      <c r="L8" s="30">
        <f>SUM(L5:L6)</f>
        <v>1193.0999999999999</v>
      </c>
      <c r="M8" s="30">
        <f>SUM(M5:M6)</f>
        <v>1216.5</v>
      </c>
    </row>
    <row r="9" spans="1:14">
      <c r="B9" t="s">
        <v>111</v>
      </c>
      <c r="C9" s="4">
        <v>108.2</v>
      </c>
      <c r="D9" s="4">
        <v>122.9</v>
      </c>
      <c r="E9" s="4">
        <v>124.7</v>
      </c>
      <c r="F9" s="62">
        <v>136.80000000000001</v>
      </c>
      <c r="G9" s="45">
        <v>36.478999999999999</v>
      </c>
      <c r="H9" s="20"/>
      <c r="I9" s="1" t="s">
        <v>10</v>
      </c>
      <c r="J9" s="10">
        <v>0</v>
      </c>
      <c r="K9" s="10">
        <v>0</v>
      </c>
      <c r="L9" s="10">
        <v>0</v>
      </c>
      <c r="M9" s="10">
        <v>0</v>
      </c>
    </row>
    <row r="10" spans="1:14">
      <c r="B10" s="9" t="s">
        <v>45</v>
      </c>
      <c r="C10" s="4">
        <v>56.9</v>
      </c>
      <c r="D10" s="4">
        <v>63.8</v>
      </c>
      <c r="E10" s="4">
        <v>73.5</v>
      </c>
      <c r="F10" s="62">
        <v>70.2</v>
      </c>
      <c r="G10" s="45">
        <v>17.544</v>
      </c>
      <c r="H10" s="20"/>
      <c r="I10" s="1" t="s">
        <v>4</v>
      </c>
      <c r="J10" s="55">
        <f>J43</f>
        <v>146.9</v>
      </c>
      <c r="K10" s="55">
        <f t="shared" ref="K10:M10" si="1">K43</f>
        <v>138.30000000000001</v>
      </c>
      <c r="L10" s="55">
        <f t="shared" si="1"/>
        <v>85.6</v>
      </c>
      <c r="M10" s="55">
        <f t="shared" si="1"/>
        <v>4.9000000000000004</v>
      </c>
    </row>
    <row r="11" spans="1:14">
      <c r="B11" s="8" t="s">
        <v>46</v>
      </c>
      <c r="C11" s="30">
        <f>C5-SUM(C8:C10)</f>
        <v>77.010999999999967</v>
      </c>
      <c r="D11" s="30">
        <f>D5-SUM(D8:D10)</f>
        <v>103.29999999999973</v>
      </c>
      <c r="E11" s="30">
        <f>E5-SUM(E8:E10)</f>
        <v>91.000000000000455</v>
      </c>
      <c r="F11" s="60">
        <f>F5-SUM(F8:F10)</f>
        <v>87.820000000000164</v>
      </c>
      <c r="G11" s="46">
        <f>G5-SUM(G8:G10)</f>
        <v>19.408999999999992</v>
      </c>
      <c r="H11" s="20"/>
      <c r="I11" s="1" t="s">
        <v>5</v>
      </c>
      <c r="J11" s="55">
        <f>J49</f>
        <v>305.60000000000002</v>
      </c>
      <c r="K11" s="55">
        <f t="shared" ref="K11:M11" si="2">K49</f>
        <v>152.30000000000001</v>
      </c>
      <c r="L11" s="55">
        <f t="shared" si="2"/>
        <v>155.56</v>
      </c>
      <c r="M11" s="55">
        <f t="shared" si="2"/>
        <v>125.718</v>
      </c>
    </row>
    <row r="12" spans="1:14">
      <c r="B12" s="22" t="s">
        <v>47</v>
      </c>
      <c r="C12" s="24">
        <f>IF(C11/C5&gt;100%,"N.A",IF(C11/C5&lt;-100%,"N.A.",(C11/C5)))</f>
        <v>3.286714182066492E-2</v>
      </c>
      <c r="D12" s="24">
        <f>IF(D11/D5&gt;100%,"N.A",IF(D11/D5&lt;-100%,"N.A.",(D11/D5)))</f>
        <v>3.7122219427174953E-2</v>
      </c>
      <c r="E12" s="24">
        <f>IF(E11/E5&gt;100%,"N.A",IF(E11/E5&lt;-100%,"N.A.",(E11/E5)))</f>
        <v>3.1320988504164815E-2</v>
      </c>
      <c r="F12" s="61">
        <f>IF(F11/F5&gt;100%,"N.A",IF(F11/F5&lt;-100%,"N.A.",(F11/F5)))</f>
        <v>2.562665966325255E-2</v>
      </c>
      <c r="G12" s="24">
        <f>IF(G11/G5&gt;100%,"N.A",IF(G11/G5&lt;-100%,"N.A.",(G11/G5)))</f>
        <v>2.4889332300605777E-2</v>
      </c>
      <c r="H12" s="20"/>
      <c r="I12" s="8" t="s">
        <v>11</v>
      </c>
      <c r="J12" s="30">
        <f>J10+J11</f>
        <v>452.5</v>
      </c>
      <c r="K12" s="30">
        <f t="shared" ref="K12:M12" si="3">K10+K11</f>
        <v>290.60000000000002</v>
      </c>
      <c r="L12" s="30">
        <f t="shared" si="3"/>
        <v>241.16</v>
      </c>
      <c r="M12" s="30">
        <f t="shared" si="3"/>
        <v>130.61799999999999</v>
      </c>
      <c r="N12" s="81"/>
    </row>
    <row r="13" spans="1:14">
      <c r="A13" s="27"/>
      <c r="B13" s="22" t="s">
        <v>43</v>
      </c>
      <c r="C13" s="24"/>
      <c r="D13" s="24">
        <f>IF(D11/C11-1&gt;100%,("N.A."),IF(D11/C11-1&lt;-100%,("N.A."),(D11/C11-1)))</f>
        <v>0.34136681772733457</v>
      </c>
      <c r="E13" s="24">
        <f>IF(E11/D11-1&gt;100%,("N.A."),IF(E11/D11-1&lt;-100%,("N.A."),(E11/D11-1)))</f>
        <v>-0.11907066795739885</v>
      </c>
      <c r="F13" s="61">
        <f>IF(F11/E11-1&gt;100%,("N.A."),IF(F11/E11-1&lt;-100%,("N.A."),(F11/E11-1)))</f>
        <v>-3.4945054945057952E-2</v>
      </c>
      <c r="G13" s="24" t="s">
        <v>108</v>
      </c>
      <c r="H13" s="20"/>
      <c r="I13" s="1"/>
      <c r="J13" s="4"/>
      <c r="K13" s="4"/>
      <c r="L13" s="4"/>
      <c r="M13" s="4"/>
    </row>
    <row r="14" spans="1:14">
      <c r="B14" s="22" t="s">
        <v>48</v>
      </c>
      <c r="C14" s="24"/>
      <c r="D14" s="24"/>
      <c r="E14" s="24">
        <f>IF((E11/C11)^(1/3)-1&lt;-100%,"N.A.",IF((E11/C11)^(1/3)-1&gt;100%,"N.A.",((E11/C11)^(1/3)-1)))</f>
        <v>5.721392922311419E-2</v>
      </c>
      <c r="F14" s="61">
        <f>IF((F11/C11)^(1/3)-1&lt;-100%,"N.A.",IF((F11/C11)^(1/3)-1&gt;100%,"N.A.",((F11/C11)^(1/3)-1)))</f>
        <v>4.4752831033424201E-2</v>
      </c>
      <c r="G14" s="24" t="s">
        <v>108</v>
      </c>
      <c r="H14" s="20"/>
      <c r="I14" s="8" t="s">
        <v>6</v>
      </c>
      <c r="J14" s="30">
        <f>J8+J12</f>
        <v>1624.9</v>
      </c>
      <c r="K14" s="30">
        <f>K8+K12</f>
        <v>1467.4</v>
      </c>
      <c r="L14" s="30">
        <f>L8+L12</f>
        <v>1434.26</v>
      </c>
      <c r="M14" s="30">
        <f>M8+M12</f>
        <v>1347.1179999999999</v>
      </c>
    </row>
    <row r="15" spans="1:14">
      <c r="B15" s="1" t="s">
        <v>49</v>
      </c>
      <c r="C15" s="4">
        <v>25</v>
      </c>
      <c r="D15" s="4">
        <v>20</v>
      </c>
      <c r="E15" s="4">
        <v>19.7</v>
      </c>
      <c r="F15" s="62">
        <v>26.7</v>
      </c>
      <c r="G15" s="45">
        <v>4.423</v>
      </c>
      <c r="H15" s="20"/>
      <c r="I15" s="1"/>
      <c r="J15" s="4"/>
      <c r="K15" s="4"/>
      <c r="L15" s="4"/>
      <c r="M15" s="4"/>
    </row>
    <row r="16" spans="1:14">
      <c r="B16" s="1" t="s">
        <v>50</v>
      </c>
      <c r="C16" s="4">
        <v>26.3</v>
      </c>
      <c r="D16" s="4">
        <v>29.195</v>
      </c>
      <c r="E16" s="4">
        <v>28</v>
      </c>
      <c r="F16" s="62">
        <v>26.1</v>
      </c>
      <c r="G16" s="45">
        <v>6.4080000000000004</v>
      </c>
      <c r="H16" s="20"/>
      <c r="I16" s="8" t="s">
        <v>12</v>
      </c>
      <c r="J16" s="5"/>
      <c r="K16" s="5"/>
      <c r="L16" s="5"/>
      <c r="M16" s="5"/>
    </row>
    <row r="17" spans="2:13">
      <c r="B17" s="1" t="s">
        <v>51</v>
      </c>
      <c r="C17" s="4">
        <v>53.4</v>
      </c>
      <c r="D17" s="4">
        <v>47.7</v>
      </c>
      <c r="E17" s="4">
        <v>25.9</v>
      </c>
      <c r="F17" s="62">
        <v>11.7</v>
      </c>
      <c r="G17" s="45">
        <v>1.0289999999999999</v>
      </c>
      <c r="H17" s="20"/>
      <c r="I17" s="1"/>
      <c r="J17" s="1"/>
      <c r="K17" s="1"/>
      <c r="L17" s="1"/>
      <c r="M17" s="1"/>
    </row>
    <row r="18" spans="2:13">
      <c r="B18" s="8" t="s">
        <v>99</v>
      </c>
      <c r="C18" s="30">
        <f>C11+C15-SUM(C16:C17)</f>
        <v>22.310999999999964</v>
      </c>
      <c r="D18" s="30">
        <f>D11+D15-SUM(D16:D17)</f>
        <v>46.404999999999717</v>
      </c>
      <c r="E18" s="30">
        <f>E11+E15-SUM(E16:E17)</f>
        <v>56.800000000000459</v>
      </c>
      <c r="F18" s="60">
        <f>F11+F15-SUM(F16:F17)</f>
        <v>76.720000000000169</v>
      </c>
      <c r="G18" s="46">
        <f>G11+G15-SUM(G16:G17)</f>
        <v>16.394999999999992</v>
      </c>
      <c r="H18" s="20"/>
      <c r="I18" s="6" t="s">
        <v>17</v>
      </c>
      <c r="J18" s="4"/>
      <c r="K18" s="4"/>
      <c r="L18" s="4"/>
      <c r="M18" s="4"/>
    </row>
    <row r="19" spans="2:13">
      <c r="B19" s="1" t="s">
        <v>100</v>
      </c>
      <c r="C19" s="11">
        <v>0</v>
      </c>
      <c r="D19" s="11">
        <v>0</v>
      </c>
      <c r="E19" s="11">
        <v>0</v>
      </c>
      <c r="F19" s="63">
        <v>0</v>
      </c>
      <c r="G19" s="48">
        <v>0</v>
      </c>
      <c r="H19" s="20"/>
      <c r="I19" s="1" t="s">
        <v>13</v>
      </c>
      <c r="J19" s="4">
        <v>514.20000000000005</v>
      </c>
      <c r="K19" s="4">
        <v>496</v>
      </c>
      <c r="L19" s="4">
        <v>348.9</v>
      </c>
      <c r="M19" s="4">
        <v>338.1</v>
      </c>
    </row>
    <row r="20" spans="2:13">
      <c r="B20" s="8" t="s">
        <v>52</v>
      </c>
      <c r="C20" s="30">
        <f>C18+C19</f>
        <v>22.310999999999964</v>
      </c>
      <c r="D20" s="30">
        <f>D18+D19</f>
        <v>46.404999999999717</v>
      </c>
      <c r="E20" s="30">
        <f>E18+E19</f>
        <v>56.800000000000459</v>
      </c>
      <c r="F20" s="64">
        <f>F18+F19</f>
        <v>76.720000000000169</v>
      </c>
      <c r="G20" s="30">
        <f>G18+G19</f>
        <v>16.394999999999992</v>
      </c>
      <c r="H20" s="20"/>
      <c r="I20" s="1" t="s">
        <v>116</v>
      </c>
      <c r="J20" s="4">
        <v>1.3</v>
      </c>
      <c r="K20" s="4">
        <v>1.6</v>
      </c>
      <c r="L20" s="4">
        <v>0.54100000000000004</v>
      </c>
      <c r="M20" s="4">
        <v>0.54100000000000004</v>
      </c>
    </row>
    <row r="21" spans="2:13">
      <c r="B21" s="1" t="s">
        <v>53</v>
      </c>
      <c r="C21" s="4"/>
      <c r="D21" s="4"/>
      <c r="E21" s="4"/>
      <c r="F21" s="62"/>
      <c r="G21" s="45"/>
      <c r="H21" s="20"/>
      <c r="I21" s="1" t="s">
        <v>117</v>
      </c>
      <c r="J21" s="4">
        <v>51.4</v>
      </c>
      <c r="K21" s="4">
        <v>50.4</v>
      </c>
      <c r="L21" s="4">
        <v>131.80000000000001</v>
      </c>
      <c r="M21" s="4">
        <v>129.30000000000001</v>
      </c>
    </row>
    <row r="22" spans="2:13">
      <c r="B22" s="1" t="s">
        <v>54</v>
      </c>
      <c r="C22" s="4" t="s">
        <v>108</v>
      </c>
      <c r="D22" s="4">
        <v>1.9</v>
      </c>
      <c r="E22" s="4">
        <v>1.5</v>
      </c>
      <c r="F22" s="62">
        <v>0.5</v>
      </c>
      <c r="G22" s="45">
        <v>0</v>
      </c>
      <c r="H22" s="20"/>
      <c r="I22" s="1" t="s">
        <v>14</v>
      </c>
      <c r="J22" s="4">
        <v>3.3</v>
      </c>
      <c r="K22" s="4">
        <v>4.3</v>
      </c>
      <c r="L22" s="4">
        <v>4.2</v>
      </c>
      <c r="M22" s="4">
        <v>3.7</v>
      </c>
    </row>
    <row r="23" spans="2:13">
      <c r="B23" s="1" t="s">
        <v>112</v>
      </c>
      <c r="C23" s="4">
        <v>0.7</v>
      </c>
      <c r="D23" s="4">
        <v>-4.5</v>
      </c>
      <c r="E23" s="10">
        <v>-0.1</v>
      </c>
      <c r="F23" s="65">
        <v>0.1</v>
      </c>
      <c r="G23" s="53">
        <v>0</v>
      </c>
      <c r="H23" s="20"/>
      <c r="I23" s="1" t="s">
        <v>119</v>
      </c>
      <c r="J23" s="4"/>
      <c r="K23" s="4"/>
      <c r="L23" s="4"/>
      <c r="M23" s="4"/>
    </row>
    <row r="24" spans="2:13">
      <c r="B24" s="1" t="s">
        <v>113</v>
      </c>
      <c r="C24" s="4">
        <v>-1.18</v>
      </c>
      <c r="D24" s="4" t="s">
        <v>108</v>
      </c>
      <c r="E24" s="4" t="s">
        <v>108</v>
      </c>
      <c r="F24" s="62" t="s">
        <v>108</v>
      </c>
      <c r="G24" s="45">
        <v>0</v>
      </c>
      <c r="H24" s="20"/>
      <c r="I24" s="1" t="s">
        <v>118</v>
      </c>
      <c r="J24" s="4">
        <v>28.526</v>
      </c>
      <c r="K24" s="4">
        <v>27</v>
      </c>
      <c r="L24" s="4">
        <v>19.600000000000001</v>
      </c>
      <c r="M24" s="4">
        <v>22.5</v>
      </c>
    </row>
    <row r="25" spans="2:13">
      <c r="B25" s="1" t="s">
        <v>56</v>
      </c>
      <c r="C25" s="4">
        <f>SUM(C22:C24)</f>
        <v>-0.48</v>
      </c>
      <c r="D25" s="4">
        <f>SUM(D22:D24)</f>
        <v>-2.6</v>
      </c>
      <c r="E25" s="4">
        <f>SUM(E22:E24)</f>
        <v>1.4</v>
      </c>
      <c r="F25" s="66">
        <f>SUM(F22:F24)</f>
        <v>0.6</v>
      </c>
      <c r="G25" s="4">
        <f>SUM(G22:G24)</f>
        <v>0</v>
      </c>
      <c r="H25" s="20"/>
      <c r="I25" s="1" t="s">
        <v>102</v>
      </c>
      <c r="J25" s="4">
        <v>5.4530000000000003</v>
      </c>
      <c r="K25" s="4">
        <v>5.8</v>
      </c>
      <c r="L25" s="4">
        <v>7</v>
      </c>
      <c r="M25" s="4">
        <v>7</v>
      </c>
    </row>
    <row r="26" spans="2:13">
      <c r="B26" s="22" t="s">
        <v>55</v>
      </c>
      <c r="C26" s="24">
        <f>C25/C20</f>
        <v>-2.1514051364797667E-2</v>
      </c>
      <c r="D26" s="24">
        <f>D25/D20</f>
        <v>-5.6028445210645747E-2</v>
      </c>
      <c r="E26" s="24">
        <f>E25/E20</f>
        <v>2.4647887323943463E-2</v>
      </c>
      <c r="F26" s="67">
        <f>F25/F20</f>
        <v>7.8206465067778754E-3</v>
      </c>
      <c r="G26" s="47">
        <f>G25/G20</f>
        <v>0</v>
      </c>
      <c r="H26" s="20"/>
      <c r="I26" s="1" t="s">
        <v>103</v>
      </c>
      <c r="J26" s="4">
        <v>27.594999999999999</v>
      </c>
      <c r="K26" s="4">
        <v>27.5</v>
      </c>
      <c r="L26" s="4">
        <v>25.5</v>
      </c>
      <c r="M26" s="4">
        <v>25.7</v>
      </c>
    </row>
    <row r="27" spans="2:13">
      <c r="B27" s="2" t="s">
        <v>57</v>
      </c>
      <c r="C27" s="30">
        <f>C20-C25</f>
        <v>22.790999999999965</v>
      </c>
      <c r="D27" s="30">
        <f>D20-D25</f>
        <v>49.004999999999718</v>
      </c>
      <c r="E27" s="30">
        <f>E20-E25</f>
        <v>55.40000000000046</v>
      </c>
      <c r="F27" s="64">
        <f>F20-F25</f>
        <v>76.120000000000175</v>
      </c>
      <c r="G27" s="30">
        <f>G20-G25</f>
        <v>16.394999999999992</v>
      </c>
      <c r="H27" s="20"/>
      <c r="I27" s="1" t="s">
        <v>120</v>
      </c>
      <c r="J27" s="4" t="s">
        <v>108</v>
      </c>
      <c r="K27" s="4" t="s">
        <v>108</v>
      </c>
      <c r="L27" s="4" t="s">
        <v>108</v>
      </c>
      <c r="M27" s="4" t="s">
        <v>108</v>
      </c>
    </row>
    <row r="28" spans="2:13">
      <c r="B28" s="22" t="s">
        <v>58</v>
      </c>
      <c r="C28" s="24">
        <f>IF(C27/C5&gt;100%,"N.A.",IF(C27/C5&lt;-100%,"N.A.",(C27/C5)))</f>
        <v>9.7268575818360153E-3</v>
      </c>
      <c r="D28" s="24">
        <f>IF(D27/D5&gt;100%,"N.A.",IF(D27/D5&lt;-100%,"N.A.",(D27/D5)))</f>
        <v>1.7610594027383377E-2</v>
      </c>
      <c r="E28" s="24">
        <f>IF(E27/E5&gt;100%,"N.A.",IF(E27/E5&lt;-100%,"N.A.",(E27/E5)))</f>
        <v>1.9067942451986116E-2</v>
      </c>
      <c r="F28" s="67">
        <f>IF(F27/F5&gt;100%,"N.A.",IF(F27/F5&lt;-100%,"N.A.",(F27/F5)))</f>
        <v>2.2212495258105043E-2</v>
      </c>
      <c r="G28" s="47">
        <f t="shared" ref="G28" si="4">IF(G27/G5&gt;100%,"N.A.",IF(G27/G5&lt;-100%,"N.A.",(G27/G5)))</f>
        <v>2.1024298164172894E-2</v>
      </c>
      <c r="H28" s="20"/>
      <c r="I28" s="8" t="s">
        <v>15</v>
      </c>
      <c r="J28" s="30">
        <f>SUM(J19:J27)</f>
        <v>631.77399999999989</v>
      </c>
      <c r="K28" s="30">
        <f>SUM(K19:K27)</f>
        <v>612.59999999999991</v>
      </c>
      <c r="L28" s="30">
        <f>SUM(L19:L27)</f>
        <v>537.54099999999994</v>
      </c>
      <c r="M28" s="30">
        <f>SUM(M19:M27)</f>
        <v>526.84100000000001</v>
      </c>
    </row>
    <row r="29" spans="2:13">
      <c r="B29" s="22" t="s">
        <v>43</v>
      </c>
      <c r="C29" s="24"/>
      <c r="D29" s="24" t="str">
        <f>IF(D27/C27-1&gt;100%,"N.A.",IF(D27/C27-1&lt;-100%,"N.A.",D27/C27-1))</f>
        <v>N.A.</v>
      </c>
      <c r="E29" s="24">
        <f>IF(E27/D27-1&gt;100%,"N.A.",IF(E27/D27-1&lt;-100%,"N.A.",E27/D27-1))</f>
        <v>0.13049688807266158</v>
      </c>
      <c r="F29" s="61">
        <f>IF(F27/E27-1&gt;100%,"N.A.",IF(F27/E27-1&lt;-100%,"N.A.",F27/E27-1))</f>
        <v>0.37400722021659827</v>
      </c>
      <c r="G29" s="24" t="s">
        <v>108</v>
      </c>
      <c r="H29" s="20"/>
      <c r="I29" s="1"/>
      <c r="J29" s="1"/>
      <c r="K29" s="1"/>
      <c r="L29" s="1"/>
      <c r="M29" s="1"/>
    </row>
    <row r="30" spans="2:13">
      <c r="B30" s="22" t="s">
        <v>48</v>
      </c>
      <c r="C30" s="24"/>
      <c r="D30" s="24"/>
      <c r="E30" s="24">
        <f>IF((E27/C27)^(1/3)-1&lt;-100%,"N.A.",IF((E27/C27)^(1/3)-1&gt;100%,"N.A.",((E27/C27)^(1/3)-1)))</f>
        <v>0.34456600867527043</v>
      </c>
      <c r="F30" s="61">
        <f>IF((F27/C27)^(1/3)-1&lt;-100%,"N.A.",IF((F27/C27)^(1/3)-1&gt;100%,"N.A.",((F27/C27)^(1/3)-1)))</f>
        <v>0.49478408811367292</v>
      </c>
      <c r="G30" s="24" t="s">
        <v>108</v>
      </c>
      <c r="H30" s="20"/>
      <c r="I30" s="6" t="s">
        <v>16</v>
      </c>
      <c r="J30" s="4"/>
      <c r="K30" s="4"/>
      <c r="L30" s="4"/>
      <c r="M30" s="4"/>
    </row>
    <row r="31" spans="2:13">
      <c r="B31" s="1" t="s">
        <v>59</v>
      </c>
      <c r="C31" s="4"/>
      <c r="D31" s="4"/>
      <c r="E31" s="4"/>
      <c r="F31" s="62"/>
      <c r="G31" s="45"/>
      <c r="H31" s="20"/>
      <c r="I31" s="1" t="s">
        <v>18</v>
      </c>
      <c r="J31" s="55" t="s">
        <v>108</v>
      </c>
      <c r="K31" s="55" t="s">
        <v>108</v>
      </c>
      <c r="L31" s="55" t="s">
        <v>108</v>
      </c>
      <c r="M31" s="55" t="s">
        <v>108</v>
      </c>
    </row>
    <row r="32" spans="2:13">
      <c r="B32" s="1" t="s">
        <v>114</v>
      </c>
      <c r="C32" s="35">
        <v>-3.8450000000000002</v>
      </c>
      <c r="D32" s="35">
        <v>-14.297000000000001</v>
      </c>
      <c r="E32" s="35">
        <v>6.94</v>
      </c>
      <c r="F32" s="68">
        <v>-8.33</v>
      </c>
      <c r="G32" s="49">
        <v>-0.39</v>
      </c>
      <c r="H32" s="20"/>
      <c r="I32" s="1" t="s">
        <v>19</v>
      </c>
      <c r="J32" s="4"/>
      <c r="K32" s="4"/>
      <c r="L32" s="4"/>
      <c r="M32" s="4"/>
    </row>
    <row r="33" spans="2:13">
      <c r="B33" s="6" t="s">
        <v>60</v>
      </c>
      <c r="C33" s="4">
        <f>C32</f>
        <v>-3.8450000000000002</v>
      </c>
      <c r="D33" s="4">
        <f>D32</f>
        <v>-14.297000000000001</v>
      </c>
      <c r="E33" s="4">
        <f t="shared" ref="E33:G33" si="5">E32</f>
        <v>6.94</v>
      </c>
      <c r="F33" s="66">
        <f t="shared" si="5"/>
        <v>-8.33</v>
      </c>
      <c r="G33" s="4">
        <f t="shared" si="5"/>
        <v>-0.39</v>
      </c>
      <c r="H33" s="20"/>
      <c r="I33" s="1" t="s">
        <v>121</v>
      </c>
      <c r="J33" s="40">
        <v>30.5</v>
      </c>
      <c r="K33" s="4">
        <v>24.8</v>
      </c>
      <c r="L33" s="4">
        <v>27.4</v>
      </c>
      <c r="M33" s="4">
        <v>21</v>
      </c>
    </row>
    <row r="34" spans="2:13">
      <c r="B34" s="8" t="s">
        <v>61</v>
      </c>
      <c r="C34" s="30">
        <f>C27+C33</f>
        <v>18.945999999999966</v>
      </c>
      <c r="D34" s="30">
        <f>D27+D33</f>
        <v>34.707999999999714</v>
      </c>
      <c r="E34" s="30">
        <f>E27+E33</f>
        <v>62.340000000000458</v>
      </c>
      <c r="F34" s="60">
        <f>F27+F33</f>
        <v>67.790000000000177</v>
      </c>
      <c r="G34" s="46">
        <f>G27+G33</f>
        <v>16.004999999999992</v>
      </c>
      <c r="H34" s="20"/>
      <c r="I34" s="1" t="s">
        <v>20</v>
      </c>
      <c r="J34" s="4">
        <v>643.35500000000002</v>
      </c>
      <c r="K34" s="4">
        <v>738.5</v>
      </c>
      <c r="L34" s="4">
        <v>907.6</v>
      </c>
      <c r="M34" s="4">
        <v>674.9</v>
      </c>
    </row>
    <row r="35" spans="2:13">
      <c r="B35" s="22" t="s">
        <v>43</v>
      </c>
      <c r="C35" s="24"/>
      <c r="D35" s="24">
        <f>IF(D34/C34-1&gt;100%,"N.A.",IF(D34/C34-1&lt;-100%,"N.A.",(D34/C34-1)))</f>
        <v>0.83194341813574235</v>
      </c>
      <c r="E35" s="24">
        <f>IF(E34/D34-1&gt;100%,"N.A.",IF(E34/D34-1&lt;-100%,"N.A.",(E34/D34-1)))</f>
        <v>0.79612769390345073</v>
      </c>
      <c r="F35" s="61">
        <f>IF(F34/E34-1&gt;100%,"N.A.",IF(F34/E34-1&lt;-100%,"N.A.",(F34/E34-1)))</f>
        <v>8.7423804940642835E-2</v>
      </c>
      <c r="G35" s="24" t="s">
        <v>108</v>
      </c>
      <c r="H35" s="20"/>
      <c r="I35" s="1" t="s">
        <v>21</v>
      </c>
      <c r="J35" s="4">
        <v>123.2</v>
      </c>
      <c r="K35" s="4">
        <v>72.599999999999994</v>
      </c>
      <c r="L35" s="4">
        <v>136.9</v>
      </c>
      <c r="M35" s="4">
        <v>119.1</v>
      </c>
    </row>
    <row r="36" spans="2:13">
      <c r="B36" s="22" t="s">
        <v>48</v>
      </c>
      <c r="C36" s="24"/>
      <c r="D36" s="24"/>
      <c r="E36" s="24">
        <f>IF((E34/C34)^(1/3)-1&lt;-100%,"N.A.",IF((E34/C34)^(1/3)-1&gt;100%,"N.A.",((E34/C34)^(1/3)-1)))</f>
        <v>0.48736110947286826</v>
      </c>
      <c r="F36" s="61">
        <f>IF((F34/C34)^(1/3)-1&lt;-100%,"N.A.",IF((F34/C34)^(1/3)-1&gt;100%,"N.A.",((F34/C34)^(1/3)-1)))</f>
        <v>0.52949959731485952</v>
      </c>
      <c r="G36" s="24"/>
      <c r="H36" s="20"/>
      <c r="I36" s="1" t="s">
        <v>22</v>
      </c>
      <c r="J36" s="40">
        <v>93.5</v>
      </c>
      <c r="K36" s="4">
        <v>168.9</v>
      </c>
      <c r="L36" s="4">
        <v>186.6</v>
      </c>
      <c r="M36" s="4">
        <v>166.6</v>
      </c>
    </row>
    <row r="37" spans="2:13">
      <c r="B37" s="1" t="s">
        <v>64</v>
      </c>
      <c r="C37" s="4"/>
      <c r="D37" s="4"/>
      <c r="E37" s="4"/>
      <c r="F37" s="62"/>
      <c r="G37" s="45"/>
      <c r="H37" s="20"/>
      <c r="I37" s="1" t="s">
        <v>23</v>
      </c>
      <c r="J37" s="4" t="s">
        <v>108</v>
      </c>
      <c r="K37" s="4" t="s">
        <v>108</v>
      </c>
      <c r="L37" s="4" t="s">
        <v>108</v>
      </c>
      <c r="M37" s="4" t="s">
        <v>108</v>
      </c>
    </row>
    <row r="38" spans="2:13">
      <c r="B38" s="3" t="s">
        <v>62</v>
      </c>
      <c r="C38" s="36">
        <v>0.77</v>
      </c>
      <c r="D38" s="36">
        <v>1.1299999999999999</v>
      </c>
      <c r="E38" s="36">
        <v>0.86</v>
      </c>
      <c r="F38" s="69">
        <v>1.1299999999999999</v>
      </c>
      <c r="G38" s="52">
        <v>0.24</v>
      </c>
      <c r="H38" s="20"/>
      <c r="I38" s="1" t="s">
        <v>24</v>
      </c>
      <c r="J38" s="4">
        <v>14.7</v>
      </c>
      <c r="K38" s="4">
        <v>15.1</v>
      </c>
      <c r="L38" s="4">
        <v>14.7</v>
      </c>
      <c r="M38" s="4">
        <v>14.5</v>
      </c>
    </row>
    <row r="39" spans="2:13">
      <c r="B39" s="3" t="s">
        <v>63</v>
      </c>
      <c r="C39" s="36">
        <v>0.56999999999999995</v>
      </c>
      <c r="D39" s="36">
        <v>0.74</v>
      </c>
      <c r="E39" s="36">
        <v>0.86</v>
      </c>
      <c r="F39" s="69">
        <v>1.1299999999999999</v>
      </c>
      <c r="G39" s="52">
        <v>0.24</v>
      </c>
      <c r="H39" s="20"/>
      <c r="I39" s="1" t="s">
        <v>25</v>
      </c>
      <c r="J39" s="4">
        <v>253</v>
      </c>
      <c r="K39" s="4">
        <v>87.3</v>
      </c>
      <c r="L39" s="4">
        <v>109.1</v>
      </c>
      <c r="M39" s="4">
        <v>157.6</v>
      </c>
    </row>
    <row r="40" spans="2:13">
      <c r="B40" s="22" t="s">
        <v>43</v>
      </c>
      <c r="C40" s="24"/>
      <c r="D40" s="24">
        <f>IF(D39/C39-1&gt;100%,"N.A.",IF(D39/C39-1&lt;-100%,"N.A.",(D39/C39-1)))</f>
        <v>0.29824561403508776</v>
      </c>
      <c r="E40" s="24">
        <f>IF(E39/D39-1&gt;100%,"N.A.",IF(E39/D39-1&lt;-100%,"N.A.",(E39/D39-1)))</f>
        <v>0.16216216216216206</v>
      </c>
      <c r="F40" s="61">
        <f>IF(F39/E39-1&gt;100%,"N.A.",IF(F39/E39-1&lt;-100%,"N.A.",(F39/E39-1)))</f>
        <v>0.31395348837209291</v>
      </c>
      <c r="G40" s="24" t="s">
        <v>108</v>
      </c>
      <c r="H40" s="20"/>
      <c r="I40" s="8" t="s">
        <v>26</v>
      </c>
      <c r="J40" s="30">
        <f>SUM(J31:J39)</f>
        <v>1158.2550000000001</v>
      </c>
      <c r="K40" s="30">
        <f>SUM(K31:K39)</f>
        <v>1107.2</v>
      </c>
      <c r="L40" s="30">
        <f>SUM(L31:L39)</f>
        <v>1382.3</v>
      </c>
      <c r="M40" s="30">
        <f>SUM(M31:M39)</f>
        <v>1153.7</v>
      </c>
    </row>
    <row r="41" spans="2:13">
      <c r="B41" s="22" t="s">
        <v>48</v>
      </c>
      <c r="C41" s="24"/>
      <c r="D41" s="24"/>
      <c r="E41" s="24">
        <f>IF((E39/C39)^(1/3)-1&lt;-100%,"N.A.",IF((E39/C39)^(1/3)-1&gt;100%,"N.A.",((E39/C39)^(1/3)-1)))</f>
        <v>0.14694131867844429</v>
      </c>
      <c r="F41" s="61">
        <f>IF((F39/C39)^(1/3)-1&lt;-100%,"N.A.",IF((F39/C39)^(1/3)-1&gt;100%,"N.A.",((F39/C39)^(1/3)-1)))</f>
        <v>0.25622624554294537</v>
      </c>
      <c r="G41" s="24" t="s">
        <v>108</v>
      </c>
      <c r="H41" s="20"/>
      <c r="I41" s="6" t="s">
        <v>27</v>
      </c>
      <c r="J41" s="4"/>
      <c r="K41" s="4"/>
      <c r="L41" s="4"/>
      <c r="M41" s="4"/>
    </row>
    <row r="42" spans="2:13">
      <c r="E42" s="7"/>
      <c r="F42" s="50"/>
      <c r="G42" s="50"/>
      <c r="H42" s="20"/>
      <c r="I42" s="1" t="s">
        <v>28</v>
      </c>
      <c r="J42" s="4"/>
      <c r="K42" s="4"/>
      <c r="L42" s="4"/>
      <c r="M42" s="4"/>
    </row>
    <row r="43" spans="2:13">
      <c r="B43" s="14" t="s">
        <v>74</v>
      </c>
      <c r="C43" s="12" t="s">
        <v>1</v>
      </c>
      <c r="D43" s="12" t="s">
        <v>2</v>
      </c>
      <c r="E43" s="12" t="s">
        <v>101</v>
      </c>
      <c r="F43" s="12" t="s">
        <v>109</v>
      </c>
      <c r="G43" s="70"/>
      <c r="H43" s="20"/>
      <c r="I43" s="1" t="s">
        <v>29</v>
      </c>
      <c r="J43" s="4">
        <v>146.9</v>
      </c>
      <c r="K43" s="4">
        <v>138.30000000000001</v>
      </c>
      <c r="L43" s="4">
        <v>85.6</v>
      </c>
      <c r="M43" s="4">
        <v>4.9000000000000004</v>
      </c>
    </row>
    <row r="44" spans="2:13">
      <c r="B44" s="6" t="s">
        <v>69</v>
      </c>
      <c r="C44" s="37">
        <v>-132.5</v>
      </c>
      <c r="D44">
        <v>-88.2</v>
      </c>
      <c r="E44" s="37">
        <v>68.3</v>
      </c>
      <c r="F44" s="37">
        <v>174.9</v>
      </c>
      <c r="G44" s="57"/>
      <c r="H44" s="20"/>
      <c r="I44" s="1" t="s">
        <v>122</v>
      </c>
      <c r="J44" s="39">
        <v>32.799999999999997</v>
      </c>
      <c r="K44" s="39">
        <v>32.799999999999997</v>
      </c>
      <c r="L44" s="39">
        <v>35.200000000000003</v>
      </c>
      <c r="M44" s="39">
        <v>35.6</v>
      </c>
    </row>
    <row r="45" spans="2:13">
      <c r="B45" s="3" t="s">
        <v>65</v>
      </c>
      <c r="C45" s="37">
        <v>91.4</v>
      </c>
      <c r="D45" s="37">
        <v>-43.5</v>
      </c>
      <c r="E45" s="37">
        <v>122.1</v>
      </c>
      <c r="F45" s="37">
        <v>8.6999999999999993</v>
      </c>
      <c r="G45" s="57"/>
      <c r="H45" s="20"/>
      <c r="I45" s="1" t="s">
        <v>30</v>
      </c>
      <c r="J45" s="4">
        <v>23.7</v>
      </c>
      <c r="K45" s="4">
        <v>18.3</v>
      </c>
      <c r="L45" s="39">
        <v>19</v>
      </c>
      <c r="M45" s="39">
        <v>19.2</v>
      </c>
    </row>
    <row r="46" spans="2:13">
      <c r="B46" s="3" t="s">
        <v>66</v>
      </c>
      <c r="C46" s="37">
        <v>-5.2</v>
      </c>
      <c r="D46" s="37">
        <v>9.1999999999999993</v>
      </c>
      <c r="E46" s="37">
        <v>87.1</v>
      </c>
      <c r="F46" s="37">
        <v>5.5</v>
      </c>
      <c r="G46" s="57"/>
      <c r="H46" s="20"/>
      <c r="I46" s="8" t="s">
        <v>31</v>
      </c>
      <c r="J46" s="30">
        <f>SUM(J43:J45)</f>
        <v>203.39999999999998</v>
      </c>
      <c r="K46" s="30">
        <f>SUM(K43:K45)</f>
        <v>189.40000000000003</v>
      </c>
      <c r="L46" s="30">
        <f>SUM(L43:L45)</f>
        <v>139.80000000000001</v>
      </c>
      <c r="M46" s="30">
        <f>SUM(M43:M45)</f>
        <v>59.7</v>
      </c>
    </row>
    <row r="47" spans="2:13">
      <c r="B47" s="3" t="s">
        <v>67</v>
      </c>
      <c r="C47" s="37">
        <v>-42</v>
      </c>
      <c r="D47" s="37">
        <v>232.5</v>
      </c>
      <c r="E47" s="37">
        <v>-102.6</v>
      </c>
      <c r="F47" s="37">
        <v>-47.8</v>
      </c>
      <c r="G47" s="57"/>
      <c r="H47" s="20"/>
      <c r="I47" s="6" t="s">
        <v>32</v>
      </c>
      <c r="J47" s="4"/>
      <c r="K47" s="4"/>
      <c r="L47" s="4"/>
      <c r="M47" s="4"/>
    </row>
    <row r="48" spans="2:13">
      <c r="B48" s="26" t="s">
        <v>115</v>
      </c>
      <c r="C48" s="29">
        <f t="shared" ref="C48" si="6">SUM(C45:C47)</f>
        <v>44.2</v>
      </c>
      <c r="D48" s="29">
        <f>SUM(D45:D47)</f>
        <v>198.2</v>
      </c>
      <c r="E48" s="29">
        <f>SUM(E45:E47)</f>
        <v>106.6</v>
      </c>
      <c r="F48" s="29">
        <f>SUM(F45:F47)</f>
        <v>-33.599999999999994</v>
      </c>
      <c r="G48" s="71"/>
      <c r="H48" s="20"/>
      <c r="I48" s="1" t="s">
        <v>28</v>
      </c>
      <c r="J48" s="4"/>
      <c r="K48" s="4"/>
      <c r="L48" s="4"/>
      <c r="M48" s="4"/>
    </row>
    <row r="49" spans="2:14">
      <c r="B49" s="13" t="s">
        <v>68</v>
      </c>
      <c r="C49" s="31">
        <f>C44+C48</f>
        <v>-88.3</v>
      </c>
      <c r="D49" s="31">
        <f>D44+D48</f>
        <v>109.99999999999999</v>
      </c>
      <c r="E49" s="31">
        <f>E44+E48</f>
        <v>174.89999999999998</v>
      </c>
      <c r="F49" s="31">
        <f>F44+F48</f>
        <v>141.30000000000001</v>
      </c>
      <c r="G49" s="72"/>
      <c r="H49" s="20"/>
      <c r="I49" s="1" t="s">
        <v>29</v>
      </c>
      <c r="J49" s="4">
        <v>305.60000000000002</v>
      </c>
      <c r="K49" s="4">
        <v>152.30000000000001</v>
      </c>
      <c r="L49" s="4">
        <v>155.56</v>
      </c>
      <c r="M49" s="4">
        <v>125.718</v>
      </c>
    </row>
    <row r="50" spans="2:14">
      <c r="H50" s="20"/>
      <c r="I50" s="1" t="s">
        <v>123</v>
      </c>
      <c r="J50" s="39">
        <v>38.299999999999997</v>
      </c>
      <c r="K50" s="39">
        <v>144.9</v>
      </c>
      <c r="L50" s="4">
        <v>166.52799999999999</v>
      </c>
      <c r="M50" s="4">
        <v>133.80000000000001</v>
      </c>
    </row>
    <row r="51" spans="2:14">
      <c r="B51" s="14" t="s">
        <v>73</v>
      </c>
      <c r="C51" s="15" t="s">
        <v>1</v>
      </c>
      <c r="D51" s="12" t="s">
        <v>2</v>
      </c>
      <c r="E51" s="12" t="s">
        <v>101</v>
      </c>
      <c r="F51" s="12" t="s">
        <v>109</v>
      </c>
      <c r="G51" s="70"/>
      <c r="H51" s="20"/>
      <c r="I51" s="1" t="s">
        <v>124</v>
      </c>
      <c r="J51" s="4">
        <v>39</v>
      </c>
      <c r="K51" s="4">
        <v>28.3</v>
      </c>
      <c r="L51" s="4">
        <v>2.4830000000000001</v>
      </c>
      <c r="M51" s="4">
        <v>1.5780000000000001</v>
      </c>
    </row>
    <row r="52" spans="2:14">
      <c r="B52" s="1" t="s">
        <v>70</v>
      </c>
      <c r="C52" s="38">
        <f>C45</f>
        <v>91.4</v>
      </c>
      <c r="D52" s="38">
        <f t="shared" ref="D52" si="7">D45</f>
        <v>-43.5</v>
      </c>
      <c r="E52" s="38">
        <f>E45</f>
        <v>122.1</v>
      </c>
      <c r="F52" s="38">
        <f>F45</f>
        <v>8.6999999999999993</v>
      </c>
      <c r="G52" s="58"/>
      <c r="H52" s="20"/>
      <c r="I52" s="1" t="s">
        <v>33</v>
      </c>
      <c r="J52" s="4">
        <v>23.6</v>
      </c>
      <c r="K52" s="4">
        <v>23.2</v>
      </c>
      <c r="L52" s="4">
        <v>262.5</v>
      </c>
      <c r="M52" s="4">
        <v>143.55799999999999</v>
      </c>
    </row>
    <row r="53" spans="2:14">
      <c r="B53" s="16" t="s">
        <v>71</v>
      </c>
      <c r="C53" s="38"/>
      <c r="D53" s="38"/>
      <c r="E53" s="38"/>
      <c r="F53" s="38"/>
      <c r="G53" s="58"/>
      <c r="H53" s="20"/>
      <c r="I53" s="1" t="s">
        <v>34</v>
      </c>
      <c r="J53" s="4">
        <v>7.5</v>
      </c>
      <c r="K53" s="4">
        <v>5.0999999999999996</v>
      </c>
      <c r="L53" s="4" t="s">
        <v>108</v>
      </c>
      <c r="M53" s="4" t="s">
        <v>108</v>
      </c>
    </row>
    <row r="54" spans="2:14">
      <c r="B54" s="2" t="s">
        <v>72</v>
      </c>
      <c r="C54" s="32">
        <f>C52-C53</f>
        <v>91.4</v>
      </c>
      <c r="D54" s="32">
        <f>D52-D53</f>
        <v>-43.5</v>
      </c>
      <c r="E54" s="32">
        <f>E52-E53</f>
        <v>122.1</v>
      </c>
      <c r="F54" s="32">
        <f>F52-F53</f>
        <v>8.6999999999999993</v>
      </c>
      <c r="G54" s="73"/>
      <c r="H54" s="20"/>
      <c r="I54" s="8" t="s">
        <v>35</v>
      </c>
      <c r="J54" s="30">
        <f>SUM(J49:J53)</f>
        <v>414.00000000000006</v>
      </c>
      <c r="K54" s="30">
        <f t="shared" ref="K54:M54" si="8">SUM(K49:K53)</f>
        <v>353.80000000000007</v>
      </c>
      <c r="L54" s="30">
        <f t="shared" si="8"/>
        <v>587.07099999999991</v>
      </c>
      <c r="M54" s="30">
        <f t="shared" si="8"/>
        <v>404.654</v>
      </c>
    </row>
    <row r="55" spans="2:14">
      <c r="F55" s="51"/>
      <c r="G55" s="51"/>
      <c r="H55" s="20"/>
      <c r="I55" s="1"/>
      <c r="J55" s="4"/>
      <c r="K55" s="4"/>
      <c r="L55" s="4"/>
      <c r="M55" s="4"/>
    </row>
    <row r="56" spans="2:14">
      <c r="B56" s="14" t="s">
        <v>92</v>
      </c>
      <c r="C56" s="12" t="s">
        <v>1</v>
      </c>
      <c r="D56" s="12" t="s">
        <v>2</v>
      </c>
      <c r="E56" s="12" t="s">
        <v>101</v>
      </c>
      <c r="F56" s="74" t="s">
        <v>109</v>
      </c>
      <c r="G56" s="54" t="s">
        <v>125</v>
      </c>
      <c r="H56" s="20"/>
      <c r="I56" s="8" t="s">
        <v>36</v>
      </c>
      <c r="J56" s="30">
        <f>J40-J54</f>
        <v>744.25500000000011</v>
      </c>
      <c r="K56" s="30">
        <f>K40-K54</f>
        <v>753.4</v>
      </c>
      <c r="L56" s="30">
        <f>L40-L54</f>
        <v>795.22900000000004</v>
      </c>
      <c r="M56" s="30">
        <f>M40-M54</f>
        <v>749.04600000000005</v>
      </c>
    </row>
    <row r="57" spans="2:14">
      <c r="B57" s="1" t="s">
        <v>104</v>
      </c>
      <c r="C57" s="56">
        <f>69585746/10^6</f>
        <v>69.585746</v>
      </c>
      <c r="D57" s="56">
        <f t="shared" ref="D57:G57" si="9">69585746/10^6</f>
        <v>69.585746</v>
      </c>
      <c r="E57" s="56">
        <f t="shared" si="9"/>
        <v>69.585746</v>
      </c>
      <c r="F57" s="56">
        <f t="shared" si="9"/>
        <v>69.585746</v>
      </c>
      <c r="G57" s="78">
        <f t="shared" si="9"/>
        <v>69.585746</v>
      </c>
      <c r="H57" s="20"/>
      <c r="I57" s="1"/>
      <c r="J57" s="4"/>
      <c r="K57" s="4"/>
      <c r="L57" s="4"/>
      <c r="M57" s="4"/>
    </row>
    <row r="58" spans="2:14">
      <c r="B58" s="1" t="s">
        <v>105</v>
      </c>
      <c r="C58" s="39">
        <v>10</v>
      </c>
      <c r="D58" s="39">
        <v>10</v>
      </c>
      <c r="E58" s="39">
        <v>10</v>
      </c>
      <c r="F58" s="75">
        <v>10</v>
      </c>
      <c r="G58" s="39">
        <v>10</v>
      </c>
      <c r="H58" s="20"/>
      <c r="I58" s="8" t="s">
        <v>37</v>
      </c>
      <c r="J58" s="34">
        <f>J40+J28</f>
        <v>1790.029</v>
      </c>
      <c r="K58" s="34">
        <f>K40+K28</f>
        <v>1719.8</v>
      </c>
      <c r="L58" s="34">
        <f>L40+L28</f>
        <v>1919.8409999999999</v>
      </c>
      <c r="M58" s="34">
        <f>M40+M28</f>
        <v>1680.5410000000002</v>
      </c>
    </row>
    <row r="59" spans="2:14">
      <c r="B59" s="16" t="s">
        <v>106</v>
      </c>
      <c r="C59" s="39">
        <f>C57*J63</f>
        <v>908.0939853000001</v>
      </c>
      <c r="D59" s="39">
        <f>D57*K63</f>
        <v>766.13906345999999</v>
      </c>
      <c r="E59" s="39">
        <f>E57*L63</f>
        <v>1393.10663492</v>
      </c>
      <c r="F59" s="75">
        <f>F57*M63</f>
        <v>928.96970909999993</v>
      </c>
      <c r="G59" s="39">
        <f>G57*N63</f>
        <v>1148.8606664600002</v>
      </c>
      <c r="H59" s="20"/>
      <c r="I59" s="8" t="s">
        <v>38</v>
      </c>
      <c r="J59" s="34">
        <f>J46+J54</f>
        <v>617.40000000000009</v>
      </c>
      <c r="K59" s="34">
        <f>K46+K54</f>
        <v>543.20000000000005</v>
      </c>
      <c r="L59" s="34">
        <f>L46+L54</f>
        <v>726.87099999999987</v>
      </c>
      <c r="M59" s="34">
        <f>M46+M54</f>
        <v>464.35399999999998</v>
      </c>
    </row>
    <row r="60" spans="2:14">
      <c r="B60" s="16" t="s">
        <v>75</v>
      </c>
      <c r="C60" s="38">
        <f>J49+J43</f>
        <v>452.5</v>
      </c>
      <c r="D60" s="38">
        <f>K49+K43</f>
        <v>290.60000000000002</v>
      </c>
      <c r="E60" s="38">
        <f>L49+L43</f>
        <v>241.16</v>
      </c>
      <c r="F60" s="76">
        <f>M49+M43</f>
        <v>130.61799999999999</v>
      </c>
      <c r="G60" s="79" t="s">
        <v>126</v>
      </c>
      <c r="H60" s="20"/>
      <c r="I60" s="8" t="s">
        <v>39</v>
      </c>
      <c r="J60" s="30">
        <f>J59+J7</f>
        <v>1789.8000000000002</v>
      </c>
      <c r="K60" s="30">
        <f>K59+K7</f>
        <v>1720</v>
      </c>
      <c r="L60" s="30">
        <f>L59+L7</f>
        <v>1919.9709999999998</v>
      </c>
      <c r="M60" s="34">
        <f>M59+M7</f>
        <v>1680.854</v>
      </c>
    </row>
    <row r="61" spans="2:14">
      <c r="B61" s="16" t="s">
        <v>76</v>
      </c>
      <c r="C61" s="38">
        <f>J35+J36</f>
        <v>216.7</v>
      </c>
      <c r="D61" s="38">
        <f>K35+K36</f>
        <v>241.5</v>
      </c>
      <c r="E61" s="38">
        <f>L35+L36</f>
        <v>323.5</v>
      </c>
      <c r="F61" s="76">
        <f>M35+M36</f>
        <v>285.7</v>
      </c>
      <c r="G61" s="79" t="s">
        <v>126</v>
      </c>
      <c r="H61" s="20"/>
      <c r="J61" s="7"/>
      <c r="K61" s="7"/>
      <c r="L61" s="7"/>
    </row>
    <row r="62" spans="2:14">
      <c r="B62" s="2" t="s">
        <v>77</v>
      </c>
      <c r="C62" s="33">
        <f>SUM(C59:C60)-C61</f>
        <v>1143.8939852999999</v>
      </c>
      <c r="D62" s="33">
        <f>SUM(D59:D60)-D61</f>
        <v>815.23906346000012</v>
      </c>
      <c r="E62" s="33">
        <f>SUM(E59:E60)-E61</f>
        <v>1310.7666349200001</v>
      </c>
      <c r="F62" s="77">
        <f>SUM(F59:F60)-F61</f>
        <v>773.88770909999994</v>
      </c>
      <c r="G62" s="80" t="s">
        <v>126</v>
      </c>
      <c r="H62" s="20"/>
      <c r="I62" s="14" t="s">
        <v>98</v>
      </c>
      <c r="J62" s="12" t="s">
        <v>1</v>
      </c>
      <c r="K62" s="12" t="s">
        <v>2</v>
      </c>
      <c r="L62" s="12" t="s">
        <v>101</v>
      </c>
      <c r="M62" s="12" t="s">
        <v>109</v>
      </c>
      <c r="N62" s="12" t="s">
        <v>125</v>
      </c>
    </row>
    <row r="63" spans="2:14">
      <c r="H63" s="20"/>
      <c r="I63" s="1" t="s">
        <v>96</v>
      </c>
      <c r="J63" s="28">
        <v>13.05</v>
      </c>
      <c r="K63" s="28">
        <v>11.01</v>
      </c>
      <c r="L63" s="28">
        <v>20.02</v>
      </c>
      <c r="M63" s="28">
        <v>13.35</v>
      </c>
      <c r="N63" s="28">
        <v>16.510000000000002</v>
      </c>
    </row>
    <row r="64" spans="2:14">
      <c r="H64" s="20"/>
      <c r="I64" s="21" t="s">
        <v>95</v>
      </c>
      <c r="J64" s="28">
        <f>C39</f>
        <v>0.56999999999999995</v>
      </c>
      <c r="K64" s="28">
        <f>D39</f>
        <v>0.74</v>
      </c>
      <c r="L64" s="28">
        <f>E39</f>
        <v>0.86</v>
      </c>
      <c r="M64" s="28">
        <f t="shared" ref="M64:N64" si="10">F39</f>
        <v>1.1299999999999999</v>
      </c>
      <c r="N64" s="28">
        <f>F39+G39-0.24</f>
        <v>1.1299999999999999</v>
      </c>
    </row>
    <row r="65" spans="3:14">
      <c r="F65" s="7"/>
      <c r="G65" s="7"/>
      <c r="H65" s="20"/>
      <c r="I65" s="21" t="s">
        <v>93</v>
      </c>
      <c r="J65" s="28">
        <f>J8/C57</f>
        <v>16.84827809419475</v>
      </c>
      <c r="K65" s="28">
        <f>K8/D57</f>
        <v>16.911509434705206</v>
      </c>
      <c r="L65" s="28">
        <f>L8/E57</f>
        <v>17.145752809778024</v>
      </c>
      <c r="M65" s="28">
        <f>M8/F57</f>
        <v>17.482028575219989</v>
      </c>
      <c r="N65" s="35" t="s">
        <v>126</v>
      </c>
    </row>
    <row r="66" spans="3:14">
      <c r="H66" s="20"/>
      <c r="I66" s="21" t="s">
        <v>94</v>
      </c>
      <c r="J66" s="28">
        <v>0</v>
      </c>
      <c r="K66" s="28">
        <v>0</v>
      </c>
      <c r="L66" s="35">
        <v>2</v>
      </c>
      <c r="M66" s="35">
        <v>2.5</v>
      </c>
      <c r="N66" s="35" t="s">
        <v>126</v>
      </c>
    </row>
    <row r="67" spans="3:14">
      <c r="H67" s="20"/>
      <c r="I67" s="21" t="s">
        <v>78</v>
      </c>
      <c r="J67" s="28">
        <f>J63/J64</f>
        <v>22.894736842105267</v>
      </c>
      <c r="K67" s="28">
        <f>K63/K64</f>
        <v>14.878378378378379</v>
      </c>
      <c r="L67" s="28">
        <f>L63/L64</f>
        <v>23.279069767441861</v>
      </c>
      <c r="M67" s="28">
        <f>M63/M64</f>
        <v>11.814159292035399</v>
      </c>
      <c r="N67" s="35">
        <f>N63/N64</f>
        <v>14.610619469026551</v>
      </c>
    </row>
    <row r="68" spans="3:14">
      <c r="H68" s="20"/>
      <c r="I68" s="21" t="s">
        <v>79</v>
      </c>
      <c r="J68" s="28">
        <f>J63/J65</f>
        <v>0.77455986463664284</v>
      </c>
      <c r="K68" s="28">
        <f>K63/K65</f>
        <v>0.65103591388511217</v>
      </c>
      <c r="L68" s="44">
        <f>L63/L65</f>
        <v>1.1676361033609925</v>
      </c>
      <c r="M68" s="44">
        <f>M63/M65</f>
        <v>0.76364135561035751</v>
      </c>
      <c r="N68" s="82" t="s">
        <v>126</v>
      </c>
    </row>
    <row r="69" spans="3:14">
      <c r="H69" s="20"/>
      <c r="I69" s="21" t="s">
        <v>80</v>
      </c>
      <c r="J69" s="28">
        <f>C62/C11</f>
        <v>14.853644093700906</v>
      </c>
      <c r="K69" s="28">
        <f>D62/D11</f>
        <v>7.8919560838335165</v>
      </c>
      <c r="L69" s="28">
        <f>E62/E11</f>
        <v>14.404028955164765</v>
      </c>
      <c r="M69" s="28">
        <f>F62/F11</f>
        <v>8.8122034741516568</v>
      </c>
      <c r="N69" s="82" t="s">
        <v>126</v>
      </c>
    </row>
    <row r="70" spans="3:14">
      <c r="H70" s="20"/>
      <c r="I70" s="21" t="s">
        <v>97</v>
      </c>
      <c r="J70" s="28">
        <v>0</v>
      </c>
      <c r="K70" s="28">
        <f>D5/AVERAGE(J60:K60)</f>
        <v>1.5856743974015612</v>
      </c>
      <c r="L70" s="28">
        <f>E5/AVERAGE(K60:L60)</f>
        <v>1.5963863448362641</v>
      </c>
      <c r="M70" s="28">
        <f>F5/AVERAGE(L60:M60)</f>
        <v>1.9033971381558394</v>
      </c>
      <c r="N70" s="82" t="s">
        <v>126</v>
      </c>
    </row>
    <row r="71" spans="3:14">
      <c r="H71" s="20"/>
      <c r="I71" s="21" t="s">
        <v>81</v>
      </c>
      <c r="J71" s="41">
        <f>C27/J8</f>
        <v>1.9439611054247664E-2</v>
      </c>
      <c r="K71" s="41">
        <f>D27/K8</f>
        <v>4.1642590074778822E-2</v>
      </c>
      <c r="L71" s="41">
        <f>E27/L8</f>
        <v>4.6433660212891179E-2</v>
      </c>
      <c r="M71" s="41">
        <f>F27/M8</f>
        <v>6.2572955199342514E-2</v>
      </c>
      <c r="N71" s="82" t="s">
        <v>126</v>
      </c>
    </row>
    <row r="72" spans="3:14">
      <c r="H72" s="20"/>
      <c r="I72" s="21" t="s">
        <v>82</v>
      </c>
      <c r="J72" s="41">
        <f>(C18+C17)/J14</f>
        <v>4.6594251953966367E-2</v>
      </c>
      <c r="K72" s="41">
        <f>(D18+D17)/K14</f>
        <v>6.4130434782608506E-2</v>
      </c>
      <c r="L72" s="41">
        <f>(E18+E17)/L14</f>
        <v>5.7660396301926049E-2</v>
      </c>
      <c r="M72" s="41">
        <f>(F18+F17)/M14</f>
        <v>6.563641789360708E-2</v>
      </c>
      <c r="N72" s="82" t="s">
        <v>126</v>
      </c>
    </row>
    <row r="73" spans="3:14">
      <c r="C73" t="s">
        <v>107</v>
      </c>
      <c r="H73" s="20"/>
      <c r="I73" s="21" t="s">
        <v>83</v>
      </c>
      <c r="J73" s="28">
        <f>J12/J8</f>
        <v>0.38596042306380074</v>
      </c>
      <c r="K73" s="28">
        <f>K12/K8</f>
        <v>0.24694085656016318</v>
      </c>
      <c r="L73" s="28">
        <f>L12/L8</f>
        <v>0.20212890788701704</v>
      </c>
      <c r="M73" s="28">
        <f>M12/M8</f>
        <v>0.10737196876284422</v>
      </c>
      <c r="N73" s="82" t="s">
        <v>126</v>
      </c>
    </row>
    <row r="74" spans="3:14">
      <c r="H74" s="20"/>
      <c r="I74" s="21" t="s">
        <v>84</v>
      </c>
      <c r="J74" s="28">
        <f>(J12 -C61)/J8</f>
        <v>0.20112589559877175</v>
      </c>
      <c r="K74" s="28">
        <f>(K12 -D61)/K8</f>
        <v>4.1723317471108114E-2</v>
      </c>
      <c r="L74" s="28">
        <f>(L12 -E61)/L8</f>
        <v>-6.901349425865394E-2</v>
      </c>
      <c r="M74" s="28">
        <f>(M12 -F61)/M8</f>
        <v>-0.12748212083847102</v>
      </c>
      <c r="N74" s="82" t="s">
        <v>126</v>
      </c>
    </row>
    <row r="75" spans="3:14">
      <c r="H75" s="20"/>
      <c r="I75" s="21" t="s">
        <v>85</v>
      </c>
      <c r="J75" s="28">
        <v>0</v>
      </c>
      <c r="K75" s="42">
        <f>K66/K63</f>
        <v>0</v>
      </c>
      <c r="L75" s="42">
        <f>L66/L63</f>
        <v>9.9900099900099903E-2</v>
      </c>
      <c r="M75" s="42">
        <f>M66/M63</f>
        <v>0.18726591760299627</v>
      </c>
      <c r="N75" s="82" t="s">
        <v>126</v>
      </c>
    </row>
    <row r="76" spans="3:14">
      <c r="H76" s="20"/>
      <c r="I76" s="21" t="s">
        <v>91</v>
      </c>
      <c r="J76" s="43">
        <f>(C18+C17)/C17</f>
        <v>1.4178089887640442</v>
      </c>
      <c r="K76" s="43">
        <f>(D18+D17)/D17</f>
        <v>1.9728511530398263</v>
      </c>
      <c r="L76" s="43">
        <f>(E18+E17)/E17</f>
        <v>3.1930501930502109</v>
      </c>
      <c r="M76" s="43">
        <f>(F18+F17)/F17</f>
        <v>7.5572649572649722</v>
      </c>
      <c r="N76" s="82" t="s">
        <v>126</v>
      </c>
    </row>
    <row r="77" spans="3:14">
      <c r="H77" s="20"/>
      <c r="I77" s="21" t="s">
        <v>86</v>
      </c>
      <c r="J77" s="28">
        <f>AVERAGE(J34:J34)/C5*365</f>
        <v>100.21961290597926</v>
      </c>
      <c r="K77" s="28">
        <f>AVERAGE(J34:K34)/D5*365</f>
        <v>90.627281956373309</v>
      </c>
      <c r="L77" s="28">
        <f>AVERAGE(K34:L34)/E5*365</f>
        <v>103.39824120603015</v>
      </c>
      <c r="M77" s="28">
        <f t="shared" ref="M77" si="11">AVERAGE(L34:M34)/F5*365</f>
        <v>84.276240917447254</v>
      </c>
      <c r="N77" s="82" t="s">
        <v>126</v>
      </c>
    </row>
    <row r="78" spans="3:14">
      <c r="H78" s="20"/>
      <c r="I78" s="21" t="s">
        <v>87</v>
      </c>
      <c r="J78" s="35">
        <f>AVERAGE(J50:J50)/SUM(C8)*365</f>
        <v>6.6537711525381606</v>
      </c>
      <c r="K78" s="35">
        <f>AVERAGE(J50:K50)/SUM(D8)*365</f>
        <v>13.412765274601838</v>
      </c>
      <c r="L78" s="35">
        <f>AVERAGE(K50:L50)/SUM(E8)*365</f>
        <v>21.724489717911474</v>
      </c>
      <c r="M78" s="35">
        <f t="shared" ref="M78" si="12">AVERAGE(L50:M50)/SUM(F8)*365</f>
        <v>17.499508313963883</v>
      </c>
      <c r="N78" s="82" t="s">
        <v>126</v>
      </c>
    </row>
    <row r="79" spans="3:14">
      <c r="H79" s="20"/>
      <c r="I79" s="21" t="s">
        <v>88</v>
      </c>
      <c r="J79" s="28">
        <v>0</v>
      </c>
      <c r="K79" s="28">
        <v>0</v>
      </c>
      <c r="L79" s="28">
        <v>0</v>
      </c>
      <c r="M79" s="28">
        <v>0</v>
      </c>
      <c r="N79" s="82" t="s">
        <v>126</v>
      </c>
    </row>
    <row r="80" spans="3:14">
      <c r="H80" s="20"/>
      <c r="I80" s="21" t="s">
        <v>89</v>
      </c>
      <c r="J80" s="28">
        <f>J79+J77-J78</f>
        <v>93.565841753441106</v>
      </c>
      <c r="K80" s="28">
        <f t="shared" ref="K80:M80" si="13">K79+K77-K78</f>
        <v>77.214516681771471</v>
      </c>
      <c r="L80" s="28">
        <f t="shared" si="13"/>
        <v>81.673751488118683</v>
      </c>
      <c r="M80" s="28">
        <f t="shared" si="13"/>
        <v>66.776732603483367</v>
      </c>
      <c r="N80" s="82" t="s">
        <v>126</v>
      </c>
    </row>
    <row r="81" spans="8:14">
      <c r="H81" s="20"/>
      <c r="I81" s="21" t="s">
        <v>90</v>
      </c>
      <c r="J81" s="28">
        <f>(J40-J54)*365/C5</f>
        <v>115.93746532371645</v>
      </c>
      <c r="K81" s="28">
        <f>(K40-K54)*365/D5</f>
        <v>98.821648039673704</v>
      </c>
      <c r="L81" s="28">
        <f>(L40-L54)*365/E5</f>
        <v>99.903140703517593</v>
      </c>
      <c r="M81" s="28">
        <f>(M40-M54)*365/F5</f>
        <v>79.781082027488409</v>
      </c>
      <c r="N81" s="82" t="s">
        <v>126</v>
      </c>
    </row>
    <row r="82" spans="8:14">
      <c r="H82" s="20"/>
      <c r="M82" s="17"/>
      <c r="N82" s="18"/>
    </row>
    <row r="83" spans="8:14">
      <c r="H83" s="20"/>
      <c r="J83" s="17"/>
      <c r="K83" s="17"/>
      <c r="L83" s="17"/>
      <c r="M83" s="19"/>
      <c r="N83" s="18"/>
    </row>
    <row r="84" spans="8:14">
      <c r="H84" s="20"/>
      <c r="M84" s="17"/>
      <c r="N84" s="18"/>
    </row>
    <row r="85" spans="8:14">
      <c r="H85" s="20"/>
      <c r="N85" s="18"/>
    </row>
    <row r="86" spans="8:14">
      <c r="H86" s="20"/>
      <c r="N86" s="18"/>
    </row>
    <row r="87" spans="8:14">
      <c r="H87" s="20"/>
      <c r="N87" s="18"/>
    </row>
    <row r="88" spans="8:14">
      <c r="H88" s="20"/>
      <c r="N88" s="18"/>
    </row>
    <row r="89" spans="8:14">
      <c r="H89" s="20"/>
      <c r="N89" s="18"/>
    </row>
    <row r="90" spans="8:14">
      <c r="H90" s="20"/>
      <c r="N90" s="18"/>
    </row>
    <row r="91" spans="8:14">
      <c r="H91" s="20"/>
      <c r="N91" s="18"/>
    </row>
    <row r="92" spans="8:14">
      <c r="H92" s="20"/>
      <c r="N92" s="18"/>
    </row>
    <row r="94" spans="8:14">
      <c r="N94" s="17"/>
    </row>
    <row r="101" spans="5:7">
      <c r="E101" s="4"/>
      <c r="F101" s="7"/>
      <c r="G101" s="7"/>
    </row>
    <row r="102" spans="5:7">
      <c r="E102" s="1"/>
    </row>
  </sheetData>
  <mergeCells count="3">
    <mergeCell ref="I3:M3"/>
    <mergeCell ref="B2:M2"/>
    <mergeCell ref="B3:G3"/>
  </mergeCells>
  <pageMargins left="0.7" right="0.7" top="0.75" bottom="0.75" header="0.3" footer="0.3"/>
  <pageSetup scale="45" fitToWidth="0" orientation="portrait" r:id="rId1"/>
  <ignoredErrors>
    <ignoredError sqref="K77:M77 K78:M78 C48:F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Lenovo</cp:lastModifiedBy>
  <cp:lastPrinted>2025-05-28T10:13:56Z</cp:lastPrinted>
  <dcterms:created xsi:type="dcterms:W3CDTF">2023-11-23T05:15:14Z</dcterms:created>
  <dcterms:modified xsi:type="dcterms:W3CDTF">2025-08-21T11:58:25Z</dcterms:modified>
</cp:coreProperties>
</file>