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GMM\Summary Sheet\Q1-FY26\"/>
    </mc:Choice>
  </mc:AlternateContent>
  <bookViews>
    <workbookView xWindow="0" yWindow="0" windowWidth="20490" windowHeight="7020"/>
  </bookViews>
  <sheets>
    <sheet name="Summary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7" i="1" l="1"/>
  <c r="Y64" i="1"/>
  <c r="Y61" i="1"/>
  <c r="L31" i="1"/>
  <c r="L29" i="1"/>
  <c r="L24" i="1"/>
  <c r="L19" i="1"/>
  <c r="L16" i="1"/>
  <c r="L9" i="1"/>
  <c r="X61" i="1" l="1"/>
  <c r="K56" i="1"/>
  <c r="J49" i="1"/>
  <c r="J25" i="1"/>
  <c r="L26" i="1" l="1"/>
  <c r="X76" i="1"/>
  <c r="X72" i="1"/>
  <c r="X71" i="1"/>
  <c r="X44" i="1"/>
  <c r="X73" i="1" s="1"/>
  <c r="X26" i="1"/>
  <c r="K36" i="1"/>
  <c r="K8" i="1"/>
  <c r="K7" i="1"/>
  <c r="Q8" i="1" l="1"/>
  <c r="Q62" i="1" s="1"/>
  <c r="Q65" i="1" s="1"/>
  <c r="K9" i="1"/>
  <c r="X12" i="1"/>
  <c r="X8" i="1"/>
  <c r="X64" i="1"/>
  <c r="W61" i="1"/>
  <c r="W64" i="1" s="1"/>
  <c r="K57" i="1"/>
  <c r="K48" i="1"/>
  <c r="K50" i="1" s="1"/>
  <c r="K44" i="1"/>
  <c r="K46" i="1" s="1"/>
  <c r="X41" i="1"/>
  <c r="X17" i="1"/>
  <c r="X30" i="1"/>
  <c r="K54" i="1"/>
  <c r="J57" i="1"/>
  <c r="W76" i="1"/>
  <c r="W73" i="1"/>
  <c r="W72" i="1"/>
  <c r="W71" i="1"/>
  <c r="J56" i="1"/>
  <c r="J54" i="1"/>
  <c r="J36" i="1"/>
  <c r="J8" i="1"/>
  <c r="J7" i="1"/>
  <c r="I49" i="1"/>
  <c r="J44" i="1"/>
  <c r="J46" i="1" s="1"/>
  <c r="J48" i="1"/>
  <c r="J50" i="1"/>
  <c r="W41" i="1"/>
  <c r="W30" i="1"/>
  <c r="W50" i="1" s="1"/>
  <c r="W17" i="1"/>
  <c r="W12" i="1"/>
  <c r="J55" i="1" s="1"/>
  <c r="W8" i="1"/>
  <c r="W62" i="1" s="1"/>
  <c r="W65" i="1" s="1"/>
  <c r="J9" i="1"/>
  <c r="J16" i="1" s="1"/>
  <c r="V26" i="1"/>
  <c r="V17" i="1" s="1"/>
  <c r="I8" i="1"/>
  <c r="V76" i="1"/>
  <c r="U76" i="1"/>
  <c r="V72" i="1"/>
  <c r="V71" i="1"/>
  <c r="V61" i="1"/>
  <c r="V64" i="1" s="1"/>
  <c r="V41" i="1"/>
  <c r="S41" i="1"/>
  <c r="V30" i="1"/>
  <c r="V50" i="1" s="1"/>
  <c r="V12" i="1"/>
  <c r="V8" i="1"/>
  <c r="V62" i="1" s="1"/>
  <c r="V65" i="1" s="1"/>
  <c r="I57" i="1"/>
  <c r="I56" i="1"/>
  <c r="I54" i="1"/>
  <c r="H54" i="1"/>
  <c r="G54" i="1"/>
  <c r="F54" i="1"/>
  <c r="E54" i="1"/>
  <c r="D54" i="1"/>
  <c r="I44" i="1"/>
  <c r="I46" i="1" s="1"/>
  <c r="V13" i="1"/>
  <c r="I9" i="1"/>
  <c r="I16" i="1" s="1"/>
  <c r="I7" i="1"/>
  <c r="U71" i="1"/>
  <c r="U72" i="1"/>
  <c r="C35" i="1"/>
  <c r="P61" i="1" s="1"/>
  <c r="P64" i="1" s="1"/>
  <c r="D35" i="1"/>
  <c r="Q61" i="1" s="1"/>
  <c r="Q64" i="1" s="1"/>
  <c r="H35" i="1"/>
  <c r="I36" i="1" s="1"/>
  <c r="G35" i="1"/>
  <c r="J37" i="1" s="1"/>
  <c r="F35" i="1"/>
  <c r="I37" i="1" s="1"/>
  <c r="E35" i="1"/>
  <c r="F36" i="1" s="1"/>
  <c r="H57" i="1"/>
  <c r="H56" i="1"/>
  <c r="I48" i="1"/>
  <c r="H48" i="1"/>
  <c r="H50" i="1" s="1"/>
  <c r="U30" i="1"/>
  <c r="U26" i="1"/>
  <c r="U17" i="1" s="1"/>
  <c r="H8" i="1"/>
  <c r="H7" i="1"/>
  <c r="Q63" i="1"/>
  <c r="Q71" i="1" s="1"/>
  <c r="T44" i="1"/>
  <c r="T41" i="1"/>
  <c r="P73" i="1"/>
  <c r="Q73" i="1"/>
  <c r="R73" i="1"/>
  <c r="S73" i="1"/>
  <c r="P72" i="1"/>
  <c r="Q72" i="1"/>
  <c r="R72" i="1"/>
  <c r="S72" i="1"/>
  <c r="T72" i="1"/>
  <c r="C57" i="1"/>
  <c r="D57" i="1"/>
  <c r="E57" i="1"/>
  <c r="F57" i="1"/>
  <c r="G57" i="1"/>
  <c r="C56" i="1"/>
  <c r="D56" i="1"/>
  <c r="E56" i="1"/>
  <c r="F56" i="1"/>
  <c r="G56" i="1"/>
  <c r="U48" i="1"/>
  <c r="U44" i="1"/>
  <c r="U12" i="1"/>
  <c r="U8" i="1"/>
  <c r="U13" i="1" s="1"/>
  <c r="R41" i="1"/>
  <c r="Q41" i="1"/>
  <c r="P41" i="1"/>
  <c r="O41" i="1"/>
  <c r="T30" i="1"/>
  <c r="S30" i="1"/>
  <c r="R30" i="1"/>
  <c r="Q30" i="1"/>
  <c r="P30" i="1"/>
  <c r="P50" i="1" s="1"/>
  <c r="O30" i="1"/>
  <c r="T17" i="1"/>
  <c r="S17" i="1"/>
  <c r="R17" i="1"/>
  <c r="Q17" i="1"/>
  <c r="P17" i="1"/>
  <c r="O17" i="1"/>
  <c r="T12" i="1"/>
  <c r="G55" i="1" s="1"/>
  <c r="G58" i="1" s="1"/>
  <c r="S12" i="1"/>
  <c r="F55" i="1" s="1"/>
  <c r="F58" i="1" s="1"/>
  <c r="R12" i="1"/>
  <c r="E55" i="1" s="1"/>
  <c r="Q12" i="1"/>
  <c r="P12" i="1"/>
  <c r="O12" i="1"/>
  <c r="T8" i="1"/>
  <c r="T13" i="1" s="1"/>
  <c r="S8" i="1"/>
  <c r="S13" i="1" s="1"/>
  <c r="R8" i="1"/>
  <c r="R62" i="1" s="1"/>
  <c r="R65" i="1" s="1"/>
  <c r="P8" i="1"/>
  <c r="P13" i="1" s="1"/>
  <c r="O8" i="1"/>
  <c r="O13" i="1"/>
  <c r="V73" i="1"/>
  <c r="U41" i="1"/>
  <c r="Q13" i="1"/>
  <c r="Q70" i="1"/>
  <c r="S55" i="1"/>
  <c r="G40" i="1"/>
  <c r="F44" i="1"/>
  <c r="F46" i="1" s="1"/>
  <c r="E43" i="1"/>
  <c r="E44" i="1" s="1"/>
  <c r="E46" i="1" s="1"/>
  <c r="C25" i="1"/>
  <c r="D25" i="1"/>
  <c r="C9" i="1"/>
  <c r="P74" i="1" s="1"/>
  <c r="D9" i="1"/>
  <c r="Q74" i="1" s="1"/>
  <c r="E25" i="1"/>
  <c r="F25" i="1"/>
  <c r="G25" i="1"/>
  <c r="H25" i="1"/>
  <c r="P76" i="1"/>
  <c r="Q76" i="1"/>
  <c r="R76" i="1"/>
  <c r="S76" i="1"/>
  <c r="T76" i="1"/>
  <c r="D48" i="1"/>
  <c r="D50" i="1" s="1"/>
  <c r="E48" i="1"/>
  <c r="E50" i="1" s="1"/>
  <c r="F48" i="1"/>
  <c r="G48" i="1"/>
  <c r="G50" i="1" s="1"/>
  <c r="C48" i="1"/>
  <c r="H44" i="1"/>
  <c r="H46" i="1" s="1"/>
  <c r="H9" i="1"/>
  <c r="H16" i="1" s="1"/>
  <c r="R71" i="1"/>
  <c r="S71" i="1"/>
  <c r="T71" i="1"/>
  <c r="P71" i="1"/>
  <c r="C54" i="1"/>
  <c r="S61" i="1"/>
  <c r="S64" i="1" s="1"/>
  <c r="T61" i="1"/>
  <c r="T64" i="1" s="1"/>
  <c r="C44" i="1"/>
  <c r="C46" i="1" s="1"/>
  <c r="D44" i="1"/>
  <c r="D46" i="1" s="1"/>
  <c r="G44" i="1"/>
  <c r="Q69" i="1"/>
  <c r="D55" i="1"/>
  <c r="E9" i="1"/>
  <c r="E16" i="1" s="1"/>
  <c r="D7" i="1"/>
  <c r="E7" i="1"/>
  <c r="F7" i="1"/>
  <c r="G7" i="1"/>
  <c r="F8" i="1"/>
  <c r="G8" i="1"/>
  <c r="F9" i="1"/>
  <c r="S74" i="1" s="1"/>
  <c r="G9" i="1"/>
  <c r="T74" i="1" s="1"/>
  <c r="C50" i="1"/>
  <c r="F50" i="1"/>
  <c r="Q50" i="1" l="1"/>
  <c r="V70" i="1"/>
  <c r="O55" i="1"/>
  <c r="O14" i="1" s="1"/>
  <c r="P62" i="1"/>
  <c r="P65" i="1" s="1"/>
  <c r="D16" i="1"/>
  <c r="D24" i="1" s="1"/>
  <c r="D26" i="1" s="1"/>
  <c r="Q67" i="1" s="1"/>
  <c r="C16" i="1"/>
  <c r="C24" i="1" s="1"/>
  <c r="G37" i="1"/>
  <c r="Q56" i="1"/>
  <c r="W13" i="1"/>
  <c r="H36" i="1"/>
  <c r="D36" i="1"/>
  <c r="P69" i="1"/>
  <c r="F37" i="1"/>
  <c r="T55" i="1"/>
  <c r="T14" i="1" s="1"/>
  <c r="P56" i="1"/>
  <c r="U55" i="1"/>
  <c r="V56" i="1"/>
  <c r="I24" i="1"/>
  <c r="I19" i="1"/>
  <c r="U62" i="1"/>
  <c r="U65" i="1" s="1"/>
  <c r="E58" i="1"/>
  <c r="R66" i="1" s="1"/>
  <c r="V74" i="1"/>
  <c r="V75" i="1" s="1"/>
  <c r="S62" i="1"/>
  <c r="S65" i="1" s="1"/>
  <c r="S70" i="1"/>
  <c r="G46" i="1"/>
  <c r="R61" i="1"/>
  <c r="R64" i="1" s="1"/>
  <c r="E36" i="1"/>
  <c r="Q55" i="1"/>
  <c r="Q14" i="1" s="1"/>
  <c r="S50" i="1"/>
  <c r="U73" i="1"/>
  <c r="U14" i="1"/>
  <c r="T50" i="1"/>
  <c r="T73" i="1"/>
  <c r="T75" i="1" s="1"/>
  <c r="S69" i="1"/>
  <c r="U56" i="1"/>
  <c r="V55" i="1"/>
  <c r="V14" i="1" s="1"/>
  <c r="Q75" i="1"/>
  <c r="S14" i="1"/>
  <c r="U74" i="1"/>
  <c r="U75" i="1" s="1"/>
  <c r="P70" i="1"/>
  <c r="H19" i="1"/>
  <c r="U77" i="1"/>
  <c r="U68" i="1"/>
  <c r="W70" i="1"/>
  <c r="G36" i="1"/>
  <c r="C55" i="1"/>
  <c r="C58" i="1" s="1"/>
  <c r="P66" i="1" s="1"/>
  <c r="R69" i="1"/>
  <c r="P75" i="1"/>
  <c r="R13" i="1"/>
  <c r="P55" i="1"/>
  <c r="P14" i="1" s="1"/>
  <c r="R50" i="1"/>
  <c r="U69" i="1"/>
  <c r="J58" i="1"/>
  <c r="W66" i="1" s="1"/>
  <c r="X56" i="1"/>
  <c r="X62" i="1"/>
  <c r="X65" i="1" s="1"/>
  <c r="S75" i="1"/>
  <c r="D58" i="1"/>
  <c r="O56" i="1"/>
  <c r="W55" i="1"/>
  <c r="W14" i="1" s="1"/>
  <c r="X50" i="1"/>
  <c r="K55" i="1"/>
  <c r="K58" i="1" s="1"/>
  <c r="X70" i="1"/>
  <c r="X69" i="1"/>
  <c r="R70" i="1"/>
  <c r="K16" i="1"/>
  <c r="K17" i="1" s="1"/>
  <c r="X74" i="1"/>
  <c r="X75" i="1" s="1"/>
  <c r="C26" i="1"/>
  <c r="C29" i="1" s="1"/>
  <c r="U50" i="1"/>
  <c r="I50" i="1"/>
  <c r="H37" i="1"/>
  <c r="K37" i="1"/>
  <c r="W56" i="1"/>
  <c r="W74" i="1"/>
  <c r="W75" i="1" s="1"/>
  <c r="X55" i="1"/>
  <c r="X14" i="1" s="1"/>
  <c r="X13" i="1"/>
  <c r="D31" i="1"/>
  <c r="D29" i="1"/>
  <c r="H18" i="1"/>
  <c r="E24" i="1"/>
  <c r="E26" i="1" s="1"/>
  <c r="R68" i="1"/>
  <c r="E19" i="1"/>
  <c r="J19" i="1"/>
  <c r="J24" i="1"/>
  <c r="J17" i="1"/>
  <c r="I26" i="1"/>
  <c r="V68" i="1"/>
  <c r="V77" i="1"/>
  <c r="K19" i="1"/>
  <c r="C31" i="1"/>
  <c r="D19" i="1"/>
  <c r="F16" i="1"/>
  <c r="R74" i="1"/>
  <c r="R75" i="1" s="1"/>
  <c r="H24" i="1"/>
  <c r="H26" i="1" s="1"/>
  <c r="R55" i="1"/>
  <c r="R14" i="1" s="1"/>
  <c r="R56" i="1"/>
  <c r="T70" i="1"/>
  <c r="U61" i="1"/>
  <c r="U64" i="1" s="1"/>
  <c r="V69" i="1"/>
  <c r="I55" i="1"/>
  <c r="I58" i="1" s="1"/>
  <c r="V66" i="1" s="1"/>
  <c r="W69" i="1"/>
  <c r="G16" i="1"/>
  <c r="T66" i="1" s="1"/>
  <c r="T69" i="1"/>
  <c r="T62" i="1"/>
  <c r="T65" i="1" s="1"/>
  <c r="I17" i="1"/>
  <c r="H55" i="1"/>
  <c r="H58" i="1" s="1"/>
  <c r="U66" i="1" s="1"/>
  <c r="O50" i="1"/>
  <c r="S56" i="1"/>
  <c r="U70" i="1"/>
  <c r="T56" i="1"/>
  <c r="P68" i="1" l="1"/>
  <c r="E17" i="1"/>
  <c r="Q66" i="1"/>
  <c r="Q68" i="1"/>
  <c r="C19" i="1"/>
  <c r="D17" i="1"/>
  <c r="P67" i="1"/>
  <c r="D27" i="1"/>
  <c r="K24" i="1"/>
  <c r="K26" i="1" s="1"/>
  <c r="X66" i="1"/>
  <c r="K18" i="1"/>
  <c r="H31" i="1"/>
  <c r="U67" i="1"/>
  <c r="H29" i="1"/>
  <c r="H28" i="1"/>
  <c r="I29" i="1"/>
  <c r="I27" i="1"/>
  <c r="I31" i="1"/>
  <c r="V67" i="1"/>
  <c r="J18" i="1"/>
  <c r="J26" i="1"/>
  <c r="W77" i="1"/>
  <c r="W68" i="1"/>
  <c r="R67" i="1"/>
  <c r="E27" i="1"/>
  <c r="E31" i="1"/>
  <c r="E32" i="1" s="1"/>
  <c r="E29" i="1"/>
  <c r="D32" i="1"/>
  <c r="H17" i="1"/>
  <c r="G17" i="1"/>
  <c r="G19" i="1"/>
  <c r="T68" i="1"/>
  <c r="G18" i="1"/>
  <c r="G24" i="1"/>
  <c r="G26" i="1" s="1"/>
  <c r="T77" i="1"/>
  <c r="I18" i="1"/>
  <c r="F19" i="1"/>
  <c r="F18" i="1"/>
  <c r="F24" i="1"/>
  <c r="F26" i="1" s="1"/>
  <c r="S66" i="1"/>
  <c r="F17" i="1"/>
  <c r="S68" i="1"/>
  <c r="X68" i="1" l="1"/>
  <c r="X77" i="1"/>
  <c r="X67" i="1"/>
  <c r="K28" i="1"/>
  <c r="K27" i="1"/>
  <c r="K29" i="1"/>
  <c r="K31" i="1"/>
  <c r="F29" i="1"/>
  <c r="F31" i="1"/>
  <c r="I33" i="1" s="1"/>
  <c r="S67" i="1"/>
  <c r="F28" i="1"/>
  <c r="F27" i="1"/>
  <c r="I32" i="1"/>
  <c r="J31" i="1"/>
  <c r="W67" i="1"/>
  <c r="J29" i="1"/>
  <c r="J27" i="1"/>
  <c r="J28" i="1"/>
  <c r="H33" i="1"/>
  <c r="G27" i="1"/>
  <c r="G29" i="1"/>
  <c r="G28" i="1"/>
  <c r="G31" i="1"/>
  <c r="T67" i="1"/>
  <c r="I28" i="1"/>
  <c r="H27" i="1"/>
  <c r="K33" i="1" l="1"/>
  <c r="K32" i="1"/>
  <c r="J33" i="1"/>
  <c r="J32" i="1"/>
  <c r="G33" i="1"/>
  <c r="G32" i="1"/>
  <c r="F33" i="1"/>
  <c r="F32" i="1"/>
  <c r="H32" i="1"/>
</calcChain>
</file>

<file path=xl/sharedStrings.xml><?xml version="1.0" encoding="utf-8"?>
<sst xmlns="http://schemas.openxmlformats.org/spreadsheetml/2006/main" count="219" uniqueCount="127">
  <si>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</si>
  <si>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</si>
  <si>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</si>
  <si>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</si>
  <si>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</si>
  <si>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</si>
  <si>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</si>
  <si>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</si>
  <si>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</si>
  <si>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</si>
  <si>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</si>
  <si>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</si>
  <si>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</si>
  <si>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</si>
  <si>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</si>
  <si>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</si>
  <si>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</si>
  <si>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</si>
  <si>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</si>
  <si>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</si>
  <si>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</si>
  <si>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</si>
  <si>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</si>
  <si>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</si>
  <si>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</si>
  <si>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</si>
  <si>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</si>
  <si>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</si>
  <si>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</si>
  <si>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</si>
  <si>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</si>
  <si>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</si>
  <si>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</si>
  <si>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</si>
  <si>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</si>
  <si>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</si>
  <si>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</si>
  <si>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</si>
  <si>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Financial assets</t>
  </si>
  <si>
    <t>CURRENT ASSETS, LOANS &amp; ADVANCES</t>
  </si>
  <si>
    <t>Inventories</t>
  </si>
  <si>
    <t>CURRENT LIABILITIES &amp; PROVISIONS</t>
  </si>
  <si>
    <t>NET CURRENT ASSETS</t>
  </si>
  <si>
    <t>Long term provision</t>
  </si>
  <si>
    <t>TOTAL ASSETS</t>
  </si>
  <si>
    <t>TOTAL LIABILITIES</t>
  </si>
  <si>
    <t>(ii)Trade Receivable</t>
  </si>
  <si>
    <t>(iii)Cash and cash equivalents</t>
  </si>
  <si>
    <t>(iv)Other bank balances</t>
  </si>
  <si>
    <t>(v)Loans</t>
  </si>
  <si>
    <t>(vi) Other financial assets</t>
  </si>
  <si>
    <t>Other current assets</t>
  </si>
  <si>
    <t>Deferred tax liability (net)</t>
  </si>
  <si>
    <t>Other non-current liabilities</t>
  </si>
  <si>
    <t>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</si>
  <si>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</si>
  <si>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</si>
  <si>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</si>
  <si>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</si>
  <si>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</si>
  <si>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</si>
  <si>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</si>
  <si>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</si>
  <si>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</si>
  <si>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</si>
  <si>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</si>
  <si>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</si>
  <si>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</si>
  <si>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</si>
  <si>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</si>
  <si>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</si>
  <si>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</si>
  <si>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</si>
  <si>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</si>
  <si>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</si>
  <si>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</si>
  <si>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</si>
  <si>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</si>
  <si>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</si>
  <si>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</si>
  <si>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</si>
  <si>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</si>
  <si>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</si>
  <si>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</si>
  <si>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</si>
  <si>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</si>
  <si>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</si>
  <si>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</si>
  <si>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</si>
  <si>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DPS (INR)</t>
  </si>
  <si>
    <t>Dividend Yield (%)</t>
  </si>
  <si>
    <t>FY22</t>
  </si>
  <si>
    <t>Labour Charges</t>
  </si>
  <si>
    <t>Exceptional Items</t>
  </si>
  <si>
    <t>-</t>
  </si>
  <si>
    <t>Excise Duty on Sale of Goods</t>
  </si>
  <si>
    <t>Cash and bank balances included in assets held for sale</t>
  </si>
  <si>
    <t>(a) Property, Plant &amp; Equipment</t>
  </si>
  <si>
    <t>(b) Right of Use Assets</t>
  </si>
  <si>
    <t>(c) Capital work-in-progress</t>
  </si>
  <si>
    <t>(d) Goodwill</t>
  </si>
  <si>
    <t>(e) Other Intangible Assets</t>
  </si>
  <si>
    <t>(f) Intangible assets under development</t>
  </si>
  <si>
    <t>(g) Financial Assets</t>
  </si>
  <si>
    <t>(i) Investments</t>
  </si>
  <si>
    <t>(h) Deffered Tax Assets (net)</t>
  </si>
  <si>
    <t>(i) Non-current Tax Assets (Net)</t>
  </si>
  <si>
    <t>(j) Other non-current assets</t>
  </si>
  <si>
    <t>(a) Financial Liabilities</t>
  </si>
  <si>
    <t>(ii) Lease Liablities</t>
  </si>
  <si>
    <t>(iii) Trade payables</t>
  </si>
  <si>
    <t>(iv) Others</t>
  </si>
  <si>
    <t>(b) Provisions</t>
  </si>
  <si>
    <t>(c) Current Tax Liabilities (Net)</t>
  </si>
  <si>
    <t>(d) Other current liabilities</t>
  </si>
  <si>
    <t>(ii) Loans &amp; Others</t>
  </si>
  <si>
    <t>(i) Investment</t>
  </si>
  <si>
    <t>Asset Classified as held for sale</t>
  </si>
  <si>
    <t>N/A</t>
  </si>
  <si>
    <t>GMM Pfaudler (Consolidated)</t>
  </si>
  <si>
    <t>CMP(INR)</t>
  </si>
  <si>
    <t>FY23</t>
  </si>
  <si>
    <t>Liabilities directly associated with assets classified as held for sale</t>
  </si>
  <si>
    <t>FY24</t>
  </si>
  <si>
    <t>FY25</t>
  </si>
  <si>
    <t>Q1-FY26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</si>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</sst>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43" fontId="2" fillId="2" borderId="1" xfId="0" applyNumberFormat="1" applyFont="1" applyFill="1" applyBorder="1"/>
    <xf numFmtId="43" fontId="5" fillId="0" borderId="1" xfId="0" applyNumberFormat="1" applyFont="1" applyBorder="1"/>
    <xf numFmtId="43" fontId="5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4" fillId="2" borderId="1" xfId="0" applyFont="1" applyFill="1" applyBorder="1"/>
    <xf numFmtId="2" fontId="5" fillId="0" borderId="1" xfId="0" applyNumberFormat="1" applyFont="1" applyBorder="1"/>
    <xf numFmtId="10" fontId="5" fillId="0" borderId="1" xfId="1" applyNumberFormat="1" applyFont="1" applyBorder="1"/>
    <xf numFmtId="2" fontId="5" fillId="0" borderId="1" xfId="0" applyNumberFormat="1" applyFont="1" applyBorder="1" applyAlignment="1">
      <alignment horizontal="right"/>
    </xf>
    <xf numFmtId="2" fontId="5" fillId="0" borderId="1" xfId="1" applyNumberFormat="1" applyFont="1" applyBorder="1"/>
    <xf numFmtId="10" fontId="0" fillId="0" borderId="1" xfId="1" applyNumberFormat="1" applyFont="1" applyBorder="1"/>
    <xf numFmtId="10" fontId="0" fillId="0" borderId="1" xfId="1" applyNumberFormat="1" applyFont="1" applyBorder="1" applyAlignment="1">
      <alignment horizontal="right"/>
    </xf>
    <xf numFmtId="165" fontId="0" fillId="0" borderId="1" xfId="2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" fillId="3" borderId="1" xfId="0" applyNumberFormat="1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right"/>
    </xf>
    <xf numFmtId="10" fontId="3" fillId="2" borderId="1" xfId="1" applyNumberFormat="1" applyFont="1" applyFill="1" applyBorder="1" applyAlignment="1">
      <alignment horizontal="right"/>
    </xf>
    <xf numFmtId="10" fontId="3" fillId="2" borderId="2" xfId="1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3" fontId="2" fillId="2" borderId="1" xfId="0" applyNumberFormat="1" applyFont="1" applyFill="1" applyBorder="1" applyAlignment="1">
      <alignment horizontal="right"/>
    </xf>
    <xf numFmtId="43" fontId="2" fillId="2" borderId="2" xfId="0" applyNumberFormat="1" applyFont="1" applyFill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10" fontId="2" fillId="2" borderId="2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43" fontId="0" fillId="0" borderId="2" xfId="2" applyFont="1" applyBorder="1" applyAlignment="1">
      <alignment horizontal="right"/>
    </xf>
    <xf numFmtId="43" fontId="0" fillId="0" borderId="1" xfId="2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10" fontId="0" fillId="2" borderId="2" xfId="1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2" fontId="2" fillId="2" borderId="2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3" fontId="4" fillId="0" borderId="1" xfId="2" applyFont="1" applyFill="1" applyBorder="1" applyAlignment="1">
      <alignment horizontal="right"/>
    </xf>
    <xf numFmtId="43" fontId="4" fillId="0" borderId="2" xfId="2" applyFont="1" applyFill="1" applyBorder="1" applyAlignment="1">
      <alignment horizontal="right"/>
    </xf>
    <xf numFmtId="43" fontId="5" fillId="0" borderId="1" xfId="2" applyFont="1" applyFill="1" applyBorder="1" applyAlignment="1">
      <alignment horizontal="right"/>
    </xf>
    <xf numFmtId="43" fontId="5" fillId="0" borderId="2" xfId="2" applyFont="1" applyFill="1" applyBorder="1" applyAlignment="1">
      <alignment horizontal="right"/>
    </xf>
    <xf numFmtId="43" fontId="4" fillId="2" borderId="1" xfId="2" applyFont="1" applyFill="1" applyBorder="1" applyAlignment="1">
      <alignment horizontal="right"/>
    </xf>
    <xf numFmtId="43" fontId="4" fillId="2" borderId="2" xfId="2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5" fontId="0" fillId="0" borderId="2" xfId="2" applyNumberFormat="1" applyFont="1" applyBorder="1" applyAlignment="1">
      <alignment horizontal="right"/>
    </xf>
    <xf numFmtId="165" fontId="2" fillId="2" borderId="1" xfId="2" applyNumberFormat="1" applyFont="1" applyFill="1" applyBorder="1" applyAlignment="1">
      <alignment horizontal="right"/>
    </xf>
    <xf numFmtId="165" fontId="2" fillId="2" borderId="2" xfId="2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165" fontId="0" fillId="0" borderId="0" xfId="2" applyNumberFormat="1" applyFont="1" applyFill="1" applyBorder="1"/>
    <xf numFmtId="165" fontId="5" fillId="0" borderId="0" xfId="2" applyNumberFormat="1" applyFont="1" applyFill="1" applyBorder="1"/>
    <xf numFmtId="165" fontId="2" fillId="0" borderId="0" xfId="2" applyNumberFormat="1" applyFont="1" applyFill="1" applyBorder="1"/>
    <xf numFmtId="165" fontId="4" fillId="0" borderId="0" xfId="2" applyNumberFormat="1" applyFont="1" applyFill="1" applyBorder="1"/>
    <xf numFmtId="10" fontId="0" fillId="0" borderId="0" xfId="1" applyNumberFormat="1" applyFont="1" applyFill="1" applyBorder="1"/>
    <xf numFmtId="10" fontId="5" fillId="0" borderId="0" xfId="1" applyNumberFormat="1" applyFont="1" applyFill="1" applyBorder="1"/>
    <xf numFmtId="10" fontId="2" fillId="0" borderId="0" xfId="1" applyNumberFormat="1" applyFont="1" applyFill="1" applyBorder="1"/>
    <xf numFmtId="10" fontId="4" fillId="0" borderId="0" xfId="1" applyNumberFormat="1" applyFont="1" applyFill="1" applyBorder="1"/>
    <xf numFmtId="4" fontId="5" fillId="0" borderId="0" xfId="0" applyNumberFormat="1" applyFont="1"/>
    <xf numFmtId="10" fontId="6" fillId="2" borderId="2" xfId="1" applyNumberFormat="1" applyFont="1" applyFill="1" applyBorder="1" applyAlignment="1">
      <alignment horizontal="right"/>
    </xf>
    <xf numFmtId="43" fontId="4" fillId="2" borderId="2" xfId="0" applyNumberFormat="1" applyFont="1" applyFill="1" applyBorder="1" applyAlignment="1">
      <alignment horizontal="right"/>
    </xf>
    <xf numFmtId="43" fontId="4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/>
    <xf numFmtId="43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5" fillId="0" borderId="2" xfId="2" applyFont="1" applyBorder="1" applyAlignment="1">
      <alignment horizontal="right"/>
    </xf>
    <xf numFmtId="10" fontId="5" fillId="2" borderId="2" xfId="1" applyNumberFormat="1" applyFont="1" applyFill="1" applyBorder="1" applyAlignment="1">
      <alignment horizontal="right"/>
    </xf>
    <xf numFmtId="2" fontId="4" fillId="2" borderId="2" xfId="1" applyNumberFormat="1" applyFont="1" applyFill="1" applyBorder="1" applyAlignment="1">
      <alignment horizontal="right"/>
    </xf>
    <xf numFmtId="2" fontId="4" fillId="2" borderId="1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43" fontId="4" fillId="2" borderId="4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5" fillId="0" borderId="2" xfId="2" applyNumberFormat="1" applyFont="1" applyBorder="1" applyAlignment="1">
      <alignment horizontal="right"/>
    </xf>
    <xf numFmtId="165" fontId="5" fillId="0" borderId="1" xfId="2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165" fontId="4" fillId="2" borderId="2" xfId="2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/>
    </xf>
    <xf numFmtId="43" fontId="5" fillId="0" borderId="5" xfId="2" applyFont="1" applyFill="1" applyBorder="1" applyAlignment="1">
      <alignment horizontal="right"/>
    </xf>
    <xf numFmtId="43" fontId="5" fillId="0" borderId="1" xfId="2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65" fontId="5" fillId="0" borderId="1" xfId="2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4" fontId="5" fillId="0" borderId="6" xfId="0" applyNumberFormat="1" applyFont="1" applyBorder="1"/>
    <xf numFmtId="10" fontId="6" fillId="2" borderId="1" xfId="1" applyNumberFormat="1" applyFont="1" applyFill="1" applyBorder="1" applyAlignment="1">
      <alignment horizontal="right"/>
    </xf>
    <xf numFmtId="10" fontId="2" fillId="0" borderId="0" xfId="1" applyNumberFormat="1" applyFont="1" applyFill="1" applyBorder="1" applyAlignment="1">
      <alignment horizontal="right"/>
    </xf>
    <xf numFmtId="10" fontId="5" fillId="2" borderId="1" xfId="1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43" fontId="4" fillId="0" borderId="1" xfId="0" applyNumberFormat="1" applyFont="1" applyFill="1" applyBorder="1" applyAlignment="1">
      <alignment horizontal="right"/>
    </xf>
    <xf numFmtId="43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3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0" fontId="0" fillId="0" borderId="0" xfId="0" applyFont="1"/>
    <xf numFmtId="0" fontId="0" fillId="0" borderId="5" xfId="0" applyFont="1" applyBorder="1"/>
    <xf numFmtId="43" fontId="0" fillId="0" borderId="5" xfId="0" applyNumberFormat="1" applyFont="1" applyBorder="1"/>
    <xf numFmtId="43" fontId="0" fillId="0" borderId="5" xfId="0" applyNumberFormat="1" applyFont="1" applyBorder="1" applyAlignment="1">
      <alignment horizontal="right"/>
    </xf>
    <xf numFmtId="0" fontId="0" fillId="0" borderId="1" xfId="0" applyFont="1" applyBorder="1"/>
    <xf numFmtId="4" fontId="0" fillId="0" borderId="1" xfId="0" applyNumberFormat="1" applyFont="1" applyBorder="1" applyAlignment="1">
      <alignment horizontal="right"/>
    </xf>
    <xf numFmtId="43" fontId="0" fillId="0" borderId="1" xfId="0" applyNumberFormat="1" applyFont="1" applyBorder="1" applyAlignment="1">
      <alignment horizontal="right"/>
    </xf>
    <xf numFmtId="43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43" fontId="0" fillId="0" borderId="2" xfId="0" applyNumberFormat="1" applyFont="1" applyBorder="1" applyAlignment="1">
      <alignment horizontal="right"/>
    </xf>
    <xf numFmtId="164" fontId="0" fillId="0" borderId="1" xfId="0" applyNumberFormat="1" applyFont="1" applyBorder="1"/>
    <xf numFmtId="0" fontId="0" fillId="0" borderId="2" xfId="0" applyFont="1" applyBorder="1" applyAlignment="1">
      <alignment horizontal="right"/>
    </xf>
    <xf numFmtId="0" fontId="0" fillId="0" borderId="1" xfId="0" applyFont="1" applyBorder="1" applyAlignment="1">
      <alignment horizontal="left" indent="1"/>
    </xf>
    <xf numFmtId="2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43" fontId="0" fillId="0" borderId="0" xfId="0" applyNumberFormat="1" applyFont="1"/>
    <xf numFmtId="2" fontId="0" fillId="0" borderId="2" xfId="0" applyNumberFormat="1" applyFont="1" applyBorder="1" applyAlignment="1">
      <alignment horizontal="right"/>
    </xf>
    <xf numFmtId="2" fontId="0" fillId="0" borderId="1" xfId="0" applyNumberFormat="1" applyFont="1" applyBorder="1"/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right"/>
    </xf>
    <xf numFmtId="0" fontId="0" fillId="3" borderId="0" xfId="0" applyFont="1" applyFill="1"/>
    <xf numFmtId="3" fontId="5" fillId="0" borderId="0" xfId="0" applyNumberFormat="1" applyFont="1"/>
    <xf numFmtId="3" fontId="5" fillId="0" borderId="1" xfId="0" applyNumberFormat="1" applyFont="1" applyBorder="1"/>
    <xf numFmtId="4" fontId="0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Comma" xfId="2" builtinId="3"/>
    <cellStyle name="Comma 2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79"/>
  <sheetViews>
    <sheetView tabSelected="1" topLeftCell="H1" zoomScale="70" zoomScaleNormal="70" workbookViewId="0">
      <selection activeCell="Y61" sqref="Y61"/>
    </sheetView>
  </sheetViews>
  <sheetFormatPr defaultRowHeight="15" x14ac:dyDescent="0.25"/>
  <cols>
    <col min="1" max="1" width="9.140625" style="120"/>
    <col min="2" max="2" width="55" style="120" bestFit="1" customWidth="1"/>
    <col min="3" max="3" width="12.85546875" style="120" hidden="1" customWidth="1"/>
    <col min="4" max="5" width="13.140625" style="120" hidden="1" customWidth="1"/>
    <col min="6" max="6" width="13.140625" style="120" bestFit="1" customWidth="1"/>
    <col min="7" max="7" width="13.42578125" style="120" bestFit="1" customWidth="1"/>
    <col min="8" max="9" width="14.5703125" style="120" bestFit="1" customWidth="1"/>
    <col min="10" max="10" width="14.5703125" style="50" bestFit="1" customWidth="1"/>
    <col min="11" max="12" width="14.5703125" style="50" customWidth="1"/>
    <col min="13" max="13" width="9.140625" style="120"/>
    <col min="14" max="14" width="65.85546875" style="120" bestFit="1" customWidth="1"/>
    <col min="15" max="16" width="10.140625" style="120" hidden="1" customWidth="1"/>
    <col min="17" max="17" width="22.140625" style="120" hidden="1" customWidth="1"/>
    <col min="18" max="18" width="17.42578125" style="120" hidden="1" customWidth="1"/>
    <col min="19" max="19" width="13.140625" style="120" customWidth="1"/>
    <col min="20" max="20" width="17.140625" style="120" customWidth="1"/>
    <col min="21" max="21" width="15.7109375" style="120" customWidth="1"/>
    <col min="22" max="22" width="14.5703125" style="120" bestFit="1" customWidth="1"/>
    <col min="23" max="23" width="14.28515625" style="50" bestFit="1" customWidth="1"/>
    <col min="24" max="24" width="15.85546875" style="50" customWidth="1"/>
    <col min="25" max="25" width="12" style="120" bestFit="1" customWidth="1"/>
    <col min="26" max="16384" width="9.140625" style="120"/>
  </cols>
  <sheetData>
    <row r="2" spans="2:24" x14ac:dyDescent="0.25">
      <c r="B2" s="149" t="s">
        <v>119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</row>
    <row r="4" spans="2:24" x14ac:dyDescent="0.25">
      <c r="B4" s="151" t="s">
        <v>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N4" s="150" t="s">
        <v>28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</row>
    <row r="5" spans="2:24" x14ac:dyDescent="0.25">
      <c r="B5" s="102" t="s">
        <v>1</v>
      </c>
      <c r="C5" s="103" t="s">
        <v>2</v>
      </c>
      <c r="D5" s="103" t="s">
        <v>3</v>
      </c>
      <c r="E5" s="103" t="s">
        <v>4</v>
      </c>
      <c r="F5" s="103" t="s">
        <v>5</v>
      </c>
      <c r="G5" s="103" t="s">
        <v>6</v>
      </c>
      <c r="H5" s="103" t="s">
        <v>91</v>
      </c>
      <c r="I5" s="104" t="s">
        <v>121</v>
      </c>
      <c r="J5" s="105" t="s">
        <v>123</v>
      </c>
      <c r="K5" s="108" t="s">
        <v>124</v>
      </c>
      <c r="L5" s="112" t="s">
        <v>125</v>
      </c>
      <c r="N5" s="1" t="s">
        <v>1</v>
      </c>
      <c r="O5" s="109" t="s">
        <v>88</v>
      </c>
      <c r="P5" s="109" t="s">
        <v>2</v>
      </c>
      <c r="Q5" s="108" t="s">
        <v>3</v>
      </c>
      <c r="R5" s="108" t="s">
        <v>4</v>
      </c>
      <c r="S5" s="108" t="s">
        <v>5</v>
      </c>
      <c r="T5" s="108" t="s">
        <v>6</v>
      </c>
      <c r="U5" s="108" t="s">
        <v>91</v>
      </c>
      <c r="V5" s="109" t="s">
        <v>121</v>
      </c>
      <c r="W5" s="108" t="s">
        <v>123</v>
      </c>
      <c r="X5" s="108" t="s">
        <v>124</v>
      </c>
    </row>
    <row r="6" spans="2:24" x14ac:dyDescent="0.25">
      <c r="B6" s="1" t="s">
        <v>7</v>
      </c>
      <c r="C6" s="17">
        <v>3781.19</v>
      </c>
      <c r="D6" s="17">
        <v>4109.62</v>
      </c>
      <c r="E6" s="18">
        <v>5026.43</v>
      </c>
      <c r="F6" s="17">
        <v>5910.72</v>
      </c>
      <c r="G6" s="18">
        <v>10011.200000000001</v>
      </c>
      <c r="H6" s="17">
        <v>25405.7</v>
      </c>
      <c r="I6" s="19">
        <v>31775.5</v>
      </c>
      <c r="J6" s="62">
        <v>34464.800000000003</v>
      </c>
      <c r="K6" s="90">
        <v>31986.9</v>
      </c>
      <c r="L6" s="113">
        <v>7945.5</v>
      </c>
      <c r="N6" s="121" t="s">
        <v>29</v>
      </c>
      <c r="O6" s="121">
        <v>29.23</v>
      </c>
      <c r="P6" s="122">
        <v>29.23</v>
      </c>
      <c r="Q6" s="123">
        <v>29.23</v>
      </c>
      <c r="R6" s="123">
        <v>29.23</v>
      </c>
      <c r="S6" s="123">
        <v>29.23</v>
      </c>
      <c r="T6" s="123">
        <v>29.23</v>
      </c>
      <c r="U6" s="123">
        <v>29.23</v>
      </c>
      <c r="V6" s="123">
        <v>89.9</v>
      </c>
      <c r="W6" s="85">
        <v>89.9</v>
      </c>
      <c r="X6" s="39">
        <v>89.9</v>
      </c>
    </row>
    <row r="7" spans="2:24" x14ac:dyDescent="0.25">
      <c r="B7" s="2" t="s">
        <v>8</v>
      </c>
      <c r="C7" s="20"/>
      <c r="D7" s="20">
        <f t="shared" ref="D7:I7" si="0">D6/C6-1</f>
        <v>8.6858898918065419E-2</v>
      </c>
      <c r="E7" s="20">
        <f t="shared" si="0"/>
        <v>0.22308875273139628</v>
      </c>
      <c r="F7" s="20">
        <f t="shared" si="0"/>
        <v>0.17592804435752618</v>
      </c>
      <c r="G7" s="20">
        <f t="shared" si="0"/>
        <v>0.69373612690162956</v>
      </c>
      <c r="H7" s="20">
        <f t="shared" si="0"/>
        <v>1.5377277449256832</v>
      </c>
      <c r="I7" s="21">
        <f t="shared" si="0"/>
        <v>0.25072326288982394</v>
      </c>
      <c r="J7" s="63">
        <f>J6/I6-1</f>
        <v>8.4634388129219085E-2</v>
      </c>
      <c r="K7" s="91">
        <f>K6/J6-1</f>
        <v>-7.1896543719969341E-2</v>
      </c>
      <c r="L7" s="91"/>
      <c r="N7" s="124" t="s">
        <v>30</v>
      </c>
      <c r="O7" s="124">
        <v>1663.99</v>
      </c>
      <c r="P7" s="5">
        <v>1908.95</v>
      </c>
      <c r="Q7" s="6">
        <v>2248.27</v>
      </c>
      <c r="R7" s="6">
        <v>2660.05</v>
      </c>
      <c r="S7" s="125">
        <v>3261.28</v>
      </c>
      <c r="T7" s="125">
        <v>4033.2</v>
      </c>
      <c r="U7" s="125">
        <v>5241.8999999999996</v>
      </c>
      <c r="V7" s="126">
        <v>7950.4</v>
      </c>
      <c r="W7" s="86">
        <v>9553.7000000000007</v>
      </c>
      <c r="X7" s="87">
        <v>10138</v>
      </c>
    </row>
    <row r="8" spans="2:24" x14ac:dyDescent="0.25">
      <c r="B8" s="2" t="s">
        <v>9</v>
      </c>
      <c r="C8" s="22"/>
      <c r="D8" s="22"/>
      <c r="E8" s="20"/>
      <c r="F8" s="20">
        <f t="shared" ref="F8:K8" si="1">(F6/C6)^(1/3)-1</f>
        <v>0.16056809871024136</v>
      </c>
      <c r="G8" s="20">
        <f t="shared" si="1"/>
        <v>0.3455344568549783</v>
      </c>
      <c r="H8" s="20">
        <f t="shared" si="1"/>
        <v>0.71615763014761136</v>
      </c>
      <c r="I8" s="21">
        <f t="shared" si="1"/>
        <v>0.75179790306370275</v>
      </c>
      <c r="J8" s="63">
        <f t="shared" si="1"/>
        <v>0.50995223169910386</v>
      </c>
      <c r="K8" s="91">
        <f t="shared" si="1"/>
        <v>7.9809131287936763E-2</v>
      </c>
      <c r="L8" s="91"/>
      <c r="N8" s="3" t="s">
        <v>31</v>
      </c>
      <c r="O8" s="4">
        <f t="shared" ref="O8:U8" si="2">SUM(O6:O7)</f>
        <v>1693.22</v>
      </c>
      <c r="P8" s="4">
        <f t="shared" si="2"/>
        <v>1938.18</v>
      </c>
      <c r="Q8" s="23">
        <f t="shared" si="2"/>
        <v>2277.5</v>
      </c>
      <c r="R8" s="23">
        <f t="shared" si="2"/>
        <v>2689.28</v>
      </c>
      <c r="S8" s="23">
        <f t="shared" si="2"/>
        <v>3290.51</v>
      </c>
      <c r="T8" s="23">
        <f t="shared" si="2"/>
        <v>4062.43</v>
      </c>
      <c r="U8" s="23">
        <f t="shared" si="2"/>
        <v>5271.1299999999992</v>
      </c>
      <c r="V8" s="23">
        <f>V6+V7</f>
        <v>8040.2999999999993</v>
      </c>
      <c r="W8" s="65">
        <f>W6+W7</f>
        <v>9643.6</v>
      </c>
      <c r="X8" s="65">
        <f>X6+X7</f>
        <v>10227.9</v>
      </c>
    </row>
    <row r="9" spans="2:24" x14ac:dyDescent="0.25">
      <c r="B9" s="3" t="s">
        <v>10</v>
      </c>
      <c r="C9" s="23">
        <f>SUM(C10:C15)</f>
        <v>3306.1199999999994</v>
      </c>
      <c r="D9" s="23">
        <f>SUM(D10:D15)</f>
        <v>3488.8500000000004</v>
      </c>
      <c r="E9" s="23">
        <f t="shared" ref="E9:J9" si="3">SUM(E10:E14)</f>
        <v>4256.7700000000004</v>
      </c>
      <c r="F9" s="23">
        <f t="shared" si="3"/>
        <v>4799.3600000000006</v>
      </c>
      <c r="G9" s="23">
        <f t="shared" si="3"/>
        <v>8623.6</v>
      </c>
      <c r="H9" s="23">
        <f t="shared" si="3"/>
        <v>22567</v>
      </c>
      <c r="I9" s="24">
        <f t="shared" si="3"/>
        <v>27464</v>
      </c>
      <c r="J9" s="64">
        <f t="shared" si="3"/>
        <v>29706.399999999998</v>
      </c>
      <c r="K9" s="65">
        <f t="shared" ref="K9" si="4">SUM(K10:K14)</f>
        <v>28375.7</v>
      </c>
      <c r="L9" s="65">
        <f>SUM(L10:L14)</f>
        <v>6935.6</v>
      </c>
      <c r="N9" s="124" t="s">
        <v>32</v>
      </c>
      <c r="O9" s="124"/>
      <c r="P9" s="127"/>
      <c r="Q9" s="126"/>
      <c r="R9" s="126"/>
      <c r="S9" s="126"/>
      <c r="T9" s="126">
        <v>1156.0999999999999</v>
      </c>
      <c r="U9" s="128">
        <v>1412.8</v>
      </c>
      <c r="V9" s="16">
        <v>112.4</v>
      </c>
      <c r="W9" s="86">
        <v>64.3</v>
      </c>
      <c r="X9" s="39">
        <v>68.2</v>
      </c>
    </row>
    <row r="10" spans="2:24" ht="14.1" customHeight="1" x14ac:dyDescent="0.25">
      <c r="B10" s="124" t="s">
        <v>11</v>
      </c>
      <c r="C10" s="126">
        <v>1519.16</v>
      </c>
      <c r="D10" s="126">
        <v>1790.56</v>
      </c>
      <c r="E10" s="126">
        <v>2380.54</v>
      </c>
      <c r="F10" s="126">
        <v>2620.3000000000002</v>
      </c>
      <c r="G10" s="126">
        <v>3862.4</v>
      </c>
      <c r="H10" s="126">
        <v>10445.299999999999</v>
      </c>
      <c r="I10" s="129">
        <v>13171.4</v>
      </c>
      <c r="J10" s="62">
        <v>12493.3</v>
      </c>
      <c r="K10" s="66">
        <v>11881.8</v>
      </c>
      <c r="L10" s="113">
        <v>3434.3</v>
      </c>
      <c r="N10" s="124" t="s">
        <v>33</v>
      </c>
      <c r="O10" s="124"/>
      <c r="P10" s="5"/>
      <c r="Q10" s="6"/>
      <c r="R10" s="6"/>
      <c r="S10" s="6"/>
      <c r="T10" s="6">
        <v>4427.6000000000004</v>
      </c>
      <c r="U10" s="128">
        <v>4496.2</v>
      </c>
      <c r="V10" s="6">
        <v>6409.2</v>
      </c>
      <c r="W10" s="86">
        <v>5013.7</v>
      </c>
      <c r="X10" s="6">
        <v>4336.3999999999996</v>
      </c>
    </row>
    <row r="11" spans="2:24" x14ac:dyDescent="0.25">
      <c r="B11" s="130" t="s">
        <v>12</v>
      </c>
      <c r="C11" s="126">
        <v>-25.83</v>
      </c>
      <c r="D11" s="126">
        <v>-105.27</v>
      </c>
      <c r="E11" s="126">
        <v>-51.38</v>
      </c>
      <c r="F11" s="126">
        <v>-76.069999999999993</v>
      </c>
      <c r="G11" s="126">
        <v>613.29999999999995</v>
      </c>
      <c r="H11" s="126">
        <v>-306.3</v>
      </c>
      <c r="I11" s="129">
        <v>-355.9</v>
      </c>
      <c r="J11" s="67">
        <v>1309.9000000000001</v>
      </c>
      <c r="K11" s="6">
        <v>689.9</v>
      </c>
      <c r="L11" s="115">
        <v>-524.20000000000005</v>
      </c>
      <c r="N11" s="124" t="s">
        <v>34</v>
      </c>
      <c r="O11" s="124"/>
      <c r="P11" s="6"/>
      <c r="Q11" s="6"/>
      <c r="R11" s="6"/>
      <c r="S11" s="6">
        <v>112.26</v>
      </c>
      <c r="T11" s="6">
        <v>489.1</v>
      </c>
      <c r="U11" s="128">
        <v>553.1</v>
      </c>
      <c r="V11" s="6">
        <v>1560.1</v>
      </c>
      <c r="W11" s="86">
        <v>2106.5</v>
      </c>
      <c r="X11" s="6">
        <v>2169.8000000000002</v>
      </c>
    </row>
    <row r="12" spans="2:24" x14ac:dyDescent="0.25">
      <c r="B12" s="124" t="s">
        <v>13</v>
      </c>
      <c r="C12" s="126">
        <v>663.29</v>
      </c>
      <c r="D12" s="126">
        <v>635.15</v>
      </c>
      <c r="E12" s="126">
        <v>726.1</v>
      </c>
      <c r="F12" s="126">
        <v>879.78</v>
      </c>
      <c r="G12" s="126">
        <v>2074.6999999999998</v>
      </c>
      <c r="H12" s="126">
        <v>7134</v>
      </c>
      <c r="I12" s="129">
        <v>7915.5</v>
      </c>
      <c r="J12" s="67">
        <v>9035.9</v>
      </c>
      <c r="K12" s="6">
        <v>8923.7000000000007</v>
      </c>
      <c r="L12" s="115">
        <v>2338.6</v>
      </c>
      <c r="N12" s="3" t="s">
        <v>35</v>
      </c>
      <c r="O12" s="4">
        <f t="shared" ref="O12:U12" si="5">SUM(O10:O11)</f>
        <v>0</v>
      </c>
      <c r="P12" s="4">
        <f t="shared" si="5"/>
        <v>0</v>
      </c>
      <c r="Q12" s="23">
        <f t="shared" si="5"/>
        <v>0</v>
      </c>
      <c r="R12" s="23">
        <f t="shared" si="5"/>
        <v>0</v>
      </c>
      <c r="S12" s="23">
        <f t="shared" si="5"/>
        <v>112.26</v>
      </c>
      <c r="T12" s="23">
        <f t="shared" si="5"/>
        <v>4916.7000000000007</v>
      </c>
      <c r="U12" s="23">
        <f t="shared" si="5"/>
        <v>5049.3</v>
      </c>
      <c r="V12" s="23">
        <f>V10+V11</f>
        <v>7969.2999999999993</v>
      </c>
      <c r="W12" s="65">
        <f>W10+W11</f>
        <v>7120.2</v>
      </c>
      <c r="X12" s="65">
        <f>X10+X11</f>
        <v>6506.2</v>
      </c>
    </row>
    <row r="13" spans="2:24" x14ac:dyDescent="0.25">
      <c r="B13" s="124" t="s">
        <v>92</v>
      </c>
      <c r="C13" s="126">
        <v>305.64</v>
      </c>
      <c r="D13" s="126">
        <v>383.71</v>
      </c>
      <c r="E13" s="126">
        <v>355.78</v>
      </c>
      <c r="F13" s="126">
        <v>353.89</v>
      </c>
      <c r="G13" s="126">
        <v>469.8</v>
      </c>
      <c r="H13" s="126">
        <v>727.1</v>
      </c>
      <c r="I13" s="129">
        <v>979.6</v>
      </c>
      <c r="J13" s="67">
        <v>1102.0999999999999</v>
      </c>
      <c r="K13" s="6">
        <v>1017.3</v>
      </c>
      <c r="L13" s="115">
        <v>218.5</v>
      </c>
      <c r="N13" s="3" t="s">
        <v>36</v>
      </c>
      <c r="O13" s="4">
        <f t="shared" ref="O13:W13" si="6">SUM(O8:O10,O51:O54)</f>
        <v>1740.78</v>
      </c>
      <c r="P13" s="4">
        <f t="shared" si="6"/>
        <v>2046.41</v>
      </c>
      <c r="Q13" s="23">
        <f t="shared" si="6"/>
        <v>2450.6899999999996</v>
      </c>
      <c r="R13" s="23">
        <f t="shared" si="6"/>
        <v>2897.1800000000003</v>
      </c>
      <c r="S13" s="23">
        <f t="shared" si="6"/>
        <v>3651.5600000000004</v>
      </c>
      <c r="T13" s="23">
        <f t="shared" si="6"/>
        <v>16049.1</v>
      </c>
      <c r="U13" s="23">
        <f t="shared" si="6"/>
        <v>16568.13</v>
      </c>
      <c r="V13" s="23">
        <f t="shared" si="6"/>
        <v>19638.399999999998</v>
      </c>
      <c r="W13" s="65">
        <f t="shared" si="6"/>
        <v>20088.099999999995</v>
      </c>
      <c r="X13" s="65">
        <f t="shared" ref="X13" si="7">SUM(X8:X10,X51:X54)</f>
        <v>19723.800000000003</v>
      </c>
    </row>
    <row r="14" spans="2:24" x14ac:dyDescent="0.25">
      <c r="B14" s="124" t="s">
        <v>14</v>
      </c>
      <c r="C14" s="126">
        <v>592.97</v>
      </c>
      <c r="D14" s="126">
        <v>732.07</v>
      </c>
      <c r="E14" s="126">
        <v>845.73</v>
      </c>
      <c r="F14" s="126">
        <v>1021.46</v>
      </c>
      <c r="G14" s="126">
        <v>1603.4</v>
      </c>
      <c r="H14" s="126">
        <v>4566.8999999999996</v>
      </c>
      <c r="I14" s="129">
        <v>5753.4</v>
      </c>
      <c r="J14" s="67">
        <v>5765.2</v>
      </c>
      <c r="K14" s="6">
        <v>5863</v>
      </c>
      <c r="L14" s="115">
        <v>1468.4</v>
      </c>
      <c r="N14" s="3" t="s">
        <v>36</v>
      </c>
      <c r="O14" s="4">
        <f t="shared" ref="O14:U14" si="8">O55-O41-O11</f>
        <v>1740.7499999999998</v>
      </c>
      <c r="P14" s="4">
        <f t="shared" si="8"/>
        <v>2045.2400000000005</v>
      </c>
      <c r="Q14" s="23">
        <f t="shared" si="8"/>
        <v>2450.69</v>
      </c>
      <c r="R14" s="23">
        <f t="shared" si="8"/>
        <v>2897.1799999999994</v>
      </c>
      <c r="S14" s="23">
        <f t="shared" si="8"/>
        <v>3539.3</v>
      </c>
      <c r="T14" s="23">
        <f t="shared" si="8"/>
        <v>15559.999999999998</v>
      </c>
      <c r="U14" s="23">
        <f t="shared" si="8"/>
        <v>16015.000000000005</v>
      </c>
      <c r="V14" s="23">
        <f>V55-V41</f>
        <v>19638.399999999994</v>
      </c>
      <c r="W14" s="65">
        <f>W55-W41</f>
        <v>20088.100000000002</v>
      </c>
      <c r="X14" s="65">
        <f>X55-X41</f>
        <v>19723.800000000003</v>
      </c>
    </row>
    <row r="15" spans="2:24" x14ac:dyDescent="0.25">
      <c r="B15" s="124" t="s">
        <v>95</v>
      </c>
      <c r="C15" s="128">
        <v>250.89</v>
      </c>
      <c r="D15" s="128">
        <v>52.63</v>
      </c>
      <c r="E15" s="128" t="s">
        <v>94</v>
      </c>
      <c r="F15" s="128" t="s">
        <v>94</v>
      </c>
      <c r="G15" s="128" t="s">
        <v>94</v>
      </c>
      <c r="H15" s="128" t="s">
        <v>94</v>
      </c>
      <c r="I15" s="131" t="s">
        <v>94</v>
      </c>
      <c r="J15" s="68" t="s">
        <v>94</v>
      </c>
      <c r="K15" s="49" t="s">
        <v>94</v>
      </c>
      <c r="L15" s="116"/>
      <c r="N15" s="124"/>
      <c r="O15" s="124"/>
      <c r="P15" s="127"/>
      <c r="Q15" s="126"/>
      <c r="R15" s="126"/>
      <c r="S15" s="126"/>
      <c r="T15" s="126"/>
      <c r="U15" s="128"/>
      <c r="V15" s="128"/>
      <c r="W15" s="86"/>
      <c r="X15" s="8"/>
    </row>
    <row r="16" spans="2:24" x14ac:dyDescent="0.25">
      <c r="B16" s="3" t="s">
        <v>15</v>
      </c>
      <c r="C16" s="23">
        <f t="shared" ref="C16:K16" si="9">C6-C9</f>
        <v>475.07000000000062</v>
      </c>
      <c r="D16" s="23">
        <f t="shared" si="9"/>
        <v>620.76999999999953</v>
      </c>
      <c r="E16" s="23">
        <f t="shared" si="9"/>
        <v>769.65999999999985</v>
      </c>
      <c r="F16" s="23">
        <f t="shared" si="9"/>
        <v>1111.3599999999997</v>
      </c>
      <c r="G16" s="23">
        <f t="shared" si="9"/>
        <v>1387.6000000000004</v>
      </c>
      <c r="H16" s="23">
        <f t="shared" si="9"/>
        <v>2838.7000000000007</v>
      </c>
      <c r="I16" s="24">
        <f t="shared" si="9"/>
        <v>4311.5</v>
      </c>
      <c r="J16" s="64">
        <f t="shared" si="9"/>
        <v>4758.4000000000051</v>
      </c>
      <c r="K16" s="65">
        <f t="shared" si="9"/>
        <v>3611.2000000000007</v>
      </c>
      <c r="L16" s="65">
        <f>L6-L9</f>
        <v>1009.8999999999996</v>
      </c>
      <c r="M16" s="92"/>
      <c r="N16" s="124"/>
      <c r="O16" s="124"/>
      <c r="P16" s="127"/>
      <c r="Q16" s="126"/>
      <c r="R16" s="126"/>
      <c r="S16" s="126"/>
      <c r="T16" s="126"/>
      <c r="U16" s="128"/>
      <c r="V16" s="128"/>
      <c r="W16" s="86"/>
      <c r="X16" s="8"/>
    </row>
    <row r="17" spans="2:24" x14ac:dyDescent="0.25">
      <c r="B17" s="2" t="s">
        <v>8</v>
      </c>
      <c r="C17" s="20"/>
      <c r="D17" s="20">
        <f t="shared" ref="D17:I17" si="10">D16/C16-1</f>
        <v>0.30669164544172167</v>
      </c>
      <c r="E17" s="20">
        <f t="shared" si="10"/>
        <v>0.23984728643458997</v>
      </c>
      <c r="F17" s="20">
        <f t="shared" si="10"/>
        <v>0.44396226905386782</v>
      </c>
      <c r="G17" s="20">
        <f t="shared" si="10"/>
        <v>0.2485603224877635</v>
      </c>
      <c r="H17" s="20">
        <f t="shared" si="10"/>
        <v>1.0457624675699049</v>
      </c>
      <c r="I17" s="21">
        <f t="shared" si="10"/>
        <v>0.51882904146264086</v>
      </c>
      <c r="J17" s="63">
        <f>J16/I16-1</f>
        <v>0.10365302099037565</v>
      </c>
      <c r="K17" s="91">
        <f>K16/J16-1</f>
        <v>-0.2410894418291869</v>
      </c>
      <c r="L17" s="91"/>
      <c r="N17" s="3" t="s">
        <v>37</v>
      </c>
      <c r="O17" s="4">
        <f t="shared" ref="O17:X17" si="11">SUM(O18:O29)</f>
        <v>628.18000000000006</v>
      </c>
      <c r="P17" s="4">
        <f t="shared" si="11"/>
        <v>652.17000000000007</v>
      </c>
      <c r="Q17" s="23">
        <f t="shared" si="11"/>
        <v>805.36</v>
      </c>
      <c r="R17" s="23">
        <f t="shared" si="11"/>
        <v>894.43000000000006</v>
      </c>
      <c r="S17" s="23">
        <f t="shared" si="11"/>
        <v>1396.74</v>
      </c>
      <c r="T17" s="23">
        <f t="shared" si="11"/>
        <v>10950.51</v>
      </c>
      <c r="U17" s="23">
        <f t="shared" si="11"/>
        <v>10389.200000000001</v>
      </c>
      <c r="V17" s="23">
        <f t="shared" si="11"/>
        <v>12846.8</v>
      </c>
      <c r="W17" s="65">
        <f t="shared" si="11"/>
        <v>13220.199999999999</v>
      </c>
      <c r="X17" s="65">
        <f t="shared" si="11"/>
        <v>12192.300000000001</v>
      </c>
    </row>
    <row r="18" spans="2:24" x14ac:dyDescent="0.25">
      <c r="B18" s="2" t="s">
        <v>9</v>
      </c>
      <c r="C18" s="20"/>
      <c r="D18" s="20"/>
      <c r="E18" s="20"/>
      <c r="F18" s="20">
        <f t="shared" ref="F18:K18" si="12">(F16/C16)^(1/3)-1</f>
        <v>0.32749344462462826</v>
      </c>
      <c r="G18" s="20">
        <f t="shared" si="12"/>
        <v>0.30750850804598651</v>
      </c>
      <c r="H18" s="20">
        <f t="shared" si="12"/>
        <v>0.54504165888011813</v>
      </c>
      <c r="I18" s="21">
        <f t="shared" si="12"/>
        <v>0.57129553447378734</v>
      </c>
      <c r="J18" s="63">
        <f t="shared" si="12"/>
        <v>0.50799147098369524</v>
      </c>
      <c r="K18" s="91">
        <f t="shared" si="12"/>
        <v>8.353767041111082E-2</v>
      </c>
      <c r="L18" s="91"/>
      <c r="N18" s="124" t="s">
        <v>97</v>
      </c>
      <c r="O18" s="124">
        <v>384.95</v>
      </c>
      <c r="P18" s="5">
        <v>473.81</v>
      </c>
      <c r="Q18" s="6">
        <v>571.35</v>
      </c>
      <c r="R18" s="6">
        <v>597.69000000000005</v>
      </c>
      <c r="S18" s="6">
        <v>871.63</v>
      </c>
      <c r="T18" s="126">
        <v>3811.32</v>
      </c>
      <c r="U18" s="126">
        <v>3817.5</v>
      </c>
      <c r="V18" s="6">
        <v>4122.1000000000004</v>
      </c>
      <c r="W18" s="86">
        <v>4097.7</v>
      </c>
      <c r="X18" s="39">
        <v>3661.9</v>
      </c>
    </row>
    <row r="19" spans="2:24" x14ac:dyDescent="0.25">
      <c r="B19" s="3" t="s">
        <v>16</v>
      </c>
      <c r="C19" s="25">
        <f t="shared" ref="C19:J19" si="13">C16/C6</f>
        <v>0.12564034073929123</v>
      </c>
      <c r="D19" s="25">
        <f t="shared" si="13"/>
        <v>0.1510528954015212</v>
      </c>
      <c r="E19" s="25">
        <f t="shared" si="13"/>
        <v>0.15312259396828362</v>
      </c>
      <c r="F19" s="25">
        <f t="shared" si="13"/>
        <v>0.18802447079205234</v>
      </c>
      <c r="G19" s="25">
        <f t="shared" si="13"/>
        <v>0.13860476266581431</v>
      </c>
      <c r="H19" s="25">
        <f t="shared" si="13"/>
        <v>0.11173476818194344</v>
      </c>
      <c r="I19" s="26">
        <f t="shared" si="13"/>
        <v>0.13568629919277431</v>
      </c>
      <c r="J19" s="69">
        <f t="shared" si="13"/>
        <v>0.13806550451475141</v>
      </c>
      <c r="K19" s="70">
        <f t="shared" ref="K19" si="14">K16/K6</f>
        <v>0.11289621688878887</v>
      </c>
      <c r="L19" s="70">
        <f>L16/L6</f>
        <v>0.12710339185702593</v>
      </c>
      <c r="N19" s="124" t="s">
        <v>98</v>
      </c>
      <c r="O19" s="124"/>
      <c r="P19" s="5"/>
      <c r="Q19" s="6"/>
      <c r="R19" s="6"/>
      <c r="S19" s="6">
        <v>220.04</v>
      </c>
      <c r="T19" s="6">
        <v>1385.07</v>
      </c>
      <c r="U19" s="126">
        <v>1653.5</v>
      </c>
      <c r="V19" s="6">
        <v>2057</v>
      </c>
      <c r="W19" s="86">
        <v>2209.6</v>
      </c>
      <c r="X19" s="6">
        <v>2352.6999999999998</v>
      </c>
    </row>
    <row r="20" spans="2:24" x14ac:dyDescent="0.25">
      <c r="B20" s="124" t="s">
        <v>17</v>
      </c>
      <c r="C20" s="126">
        <v>82.34</v>
      </c>
      <c r="D20" s="126">
        <v>97.89</v>
      </c>
      <c r="E20" s="126">
        <v>109.74</v>
      </c>
      <c r="F20" s="126">
        <v>211.15</v>
      </c>
      <c r="G20" s="126">
        <v>504.8</v>
      </c>
      <c r="H20" s="126">
        <v>1326.2</v>
      </c>
      <c r="I20" s="129">
        <v>1194.5</v>
      </c>
      <c r="J20" s="67">
        <v>1502.8</v>
      </c>
      <c r="K20" s="6">
        <v>1444.4</v>
      </c>
      <c r="L20" s="115">
        <v>357.5</v>
      </c>
      <c r="N20" s="124" t="s">
        <v>99</v>
      </c>
      <c r="O20" s="124">
        <v>43.15</v>
      </c>
      <c r="P20" s="5">
        <v>19.95</v>
      </c>
      <c r="Q20" s="6">
        <v>27.6</v>
      </c>
      <c r="R20" s="6">
        <v>49.54</v>
      </c>
      <c r="S20" s="6">
        <v>15.99</v>
      </c>
      <c r="T20" s="6">
        <v>43.23</v>
      </c>
      <c r="U20" s="126">
        <v>125.9</v>
      </c>
      <c r="V20" s="6">
        <v>133.30000000000001</v>
      </c>
      <c r="W20" s="86">
        <v>273.60000000000002</v>
      </c>
      <c r="X20" s="6">
        <v>119.3</v>
      </c>
    </row>
    <row r="21" spans="2:24" x14ac:dyDescent="0.25">
      <c r="B21" s="124" t="s">
        <v>18</v>
      </c>
      <c r="C21" s="126">
        <v>9.01</v>
      </c>
      <c r="D21" s="126">
        <v>10.31</v>
      </c>
      <c r="E21" s="126">
        <v>11.72</v>
      </c>
      <c r="F21" s="126">
        <v>34.9</v>
      </c>
      <c r="G21" s="126">
        <v>101.8</v>
      </c>
      <c r="H21" s="126">
        <v>246</v>
      </c>
      <c r="I21" s="129">
        <v>665.7</v>
      </c>
      <c r="J21" s="67">
        <v>947.7</v>
      </c>
      <c r="K21" s="6">
        <v>1031.5999999999999</v>
      </c>
      <c r="L21" s="115">
        <v>429.1</v>
      </c>
      <c r="N21" s="124" t="s">
        <v>100</v>
      </c>
      <c r="O21" s="124">
        <v>121.43</v>
      </c>
      <c r="P21" s="127">
        <v>114.72</v>
      </c>
      <c r="Q21" s="126">
        <v>121.31</v>
      </c>
      <c r="R21" s="126">
        <v>123.38</v>
      </c>
      <c r="S21" s="126">
        <v>59.32</v>
      </c>
      <c r="T21" s="126">
        <v>718.5</v>
      </c>
      <c r="U21" s="126">
        <v>661.8</v>
      </c>
      <c r="V21" s="6">
        <v>1492.6</v>
      </c>
      <c r="W21" s="86">
        <v>1152.7</v>
      </c>
      <c r="X21" s="39">
        <v>1090.7</v>
      </c>
    </row>
    <row r="22" spans="2:24" x14ac:dyDescent="0.25">
      <c r="B22" s="124" t="s">
        <v>19</v>
      </c>
      <c r="C22" s="126">
        <v>56.88</v>
      </c>
      <c r="D22" s="126">
        <v>93.94</v>
      </c>
      <c r="E22" s="126">
        <v>84.5</v>
      </c>
      <c r="F22" s="126">
        <v>57.57</v>
      </c>
      <c r="G22" s="126">
        <v>234.8</v>
      </c>
      <c r="H22" s="126">
        <v>67.3</v>
      </c>
      <c r="I22" s="129">
        <v>516.9</v>
      </c>
      <c r="J22" s="67">
        <v>200.2</v>
      </c>
      <c r="K22" s="6">
        <v>304.10000000000002</v>
      </c>
      <c r="L22" s="115">
        <v>92.8</v>
      </c>
      <c r="N22" s="124" t="s">
        <v>101</v>
      </c>
      <c r="O22" s="124">
        <v>27.08</v>
      </c>
      <c r="P22" s="127">
        <v>23.01</v>
      </c>
      <c r="Q22" s="126">
        <v>15.73</v>
      </c>
      <c r="R22" s="126">
        <v>54.93</v>
      </c>
      <c r="S22" s="126">
        <v>184.5</v>
      </c>
      <c r="T22" s="126">
        <v>4517.3</v>
      </c>
      <c r="U22" s="126">
        <v>3884.8</v>
      </c>
      <c r="V22" s="6">
        <v>4461</v>
      </c>
      <c r="W22" s="88">
        <v>5046.8</v>
      </c>
      <c r="X22" s="39">
        <v>4544.8999999999996</v>
      </c>
    </row>
    <row r="23" spans="2:24" x14ac:dyDescent="0.25">
      <c r="B23" s="124" t="s">
        <v>93</v>
      </c>
      <c r="C23" s="128"/>
      <c r="D23" s="128"/>
      <c r="E23" s="128"/>
      <c r="F23" s="128"/>
      <c r="G23" s="126">
        <v>335.2</v>
      </c>
      <c r="H23" s="128" t="s">
        <v>94</v>
      </c>
      <c r="I23" s="129">
        <v>215.8</v>
      </c>
      <c r="J23" s="67"/>
      <c r="K23" s="6">
        <v>476.6</v>
      </c>
      <c r="L23" s="115">
        <v>0</v>
      </c>
      <c r="N23" s="124" t="s">
        <v>102</v>
      </c>
      <c r="O23" s="132"/>
      <c r="P23" s="5"/>
      <c r="Q23" s="6">
        <v>40.22</v>
      </c>
      <c r="R23" s="6">
        <v>0.4</v>
      </c>
      <c r="S23" s="6">
        <v>0.44</v>
      </c>
      <c r="T23" s="6">
        <v>0.28000000000000003</v>
      </c>
      <c r="U23" s="126">
        <v>3.9</v>
      </c>
      <c r="V23" s="6" t="s">
        <v>94</v>
      </c>
      <c r="W23" s="6" t="s">
        <v>94</v>
      </c>
      <c r="X23" s="6">
        <v>0</v>
      </c>
    </row>
    <row r="24" spans="2:24" x14ac:dyDescent="0.25">
      <c r="B24" s="1" t="s">
        <v>20</v>
      </c>
      <c r="C24" s="17">
        <f>C16-C20-C21+C22</f>
        <v>440.60000000000059</v>
      </c>
      <c r="D24" s="17">
        <f>D16-D20-D21+D22</f>
        <v>606.50999999999954</v>
      </c>
      <c r="E24" s="17">
        <f>E16-E20-E21+E22</f>
        <v>732.69999999999982</v>
      </c>
      <c r="F24" s="17">
        <f>F16-F20-F21+F22</f>
        <v>922.87999999999977</v>
      </c>
      <c r="G24" s="17">
        <f>G16+G22-G21-G20-G23</f>
        <v>680.60000000000036</v>
      </c>
      <c r="H24" s="17">
        <f>H16-H20-H21+H22</f>
        <v>1333.8000000000006</v>
      </c>
      <c r="I24" s="19">
        <f>I16+I22-I20-I21-I23</f>
        <v>2752.3999999999996</v>
      </c>
      <c r="J24" s="71">
        <f>J16+J22-J20-J21-J23</f>
        <v>2508.1000000000049</v>
      </c>
      <c r="K24" s="72">
        <f>K16+K22-K20-K21-K23</f>
        <v>962.70000000000061</v>
      </c>
      <c r="L24" s="114">
        <f>L16+L22-L20-L21-L23</f>
        <v>316.09999999999957</v>
      </c>
      <c r="N24" s="124" t="s">
        <v>103</v>
      </c>
      <c r="O24" s="132"/>
      <c r="P24" s="6"/>
      <c r="Q24" s="6"/>
      <c r="R24" s="6"/>
      <c r="S24" s="6"/>
      <c r="T24" s="6"/>
      <c r="U24" s="126"/>
      <c r="V24" s="128"/>
      <c r="W24" s="86"/>
      <c r="X24" s="8"/>
    </row>
    <row r="25" spans="2:24" x14ac:dyDescent="0.25">
      <c r="B25" s="124" t="s">
        <v>21</v>
      </c>
      <c r="C25" s="126">
        <f>150.27-20.89</f>
        <v>129.38</v>
      </c>
      <c r="D25" s="126">
        <f>154.62+25.13</f>
        <v>179.75</v>
      </c>
      <c r="E25" s="126">
        <f>223.76+3.13</f>
        <v>226.89</v>
      </c>
      <c r="F25" s="126">
        <f>213.15-1.58</f>
        <v>211.57</v>
      </c>
      <c r="G25" s="126">
        <f>306-39.5-221.4</f>
        <v>45.099999999999994</v>
      </c>
      <c r="H25" s="126">
        <f>580-5.8+6</f>
        <v>580.20000000000005</v>
      </c>
      <c r="I25" s="129">
        <v>617.4</v>
      </c>
      <c r="J25" s="67">
        <f>945.6-144.1</f>
        <v>801.5</v>
      </c>
      <c r="K25" s="6">
        <v>471</v>
      </c>
      <c r="L25" s="115">
        <v>214.6</v>
      </c>
      <c r="N25" s="124" t="s">
        <v>104</v>
      </c>
      <c r="O25" s="124">
        <v>17.12</v>
      </c>
      <c r="P25" s="5">
        <v>8.9600000000000009</v>
      </c>
      <c r="Q25" s="6">
        <v>8.75</v>
      </c>
      <c r="R25" s="6">
        <v>4.71</v>
      </c>
      <c r="S25" s="6">
        <v>4.7</v>
      </c>
      <c r="T25" s="6"/>
      <c r="U25" s="126">
        <v>0.1</v>
      </c>
      <c r="V25" s="6">
        <v>0.1</v>
      </c>
      <c r="W25" s="86">
        <v>0.1</v>
      </c>
      <c r="X25" s="6">
        <v>0.1</v>
      </c>
    </row>
    <row r="26" spans="2:24" x14ac:dyDescent="0.25">
      <c r="B26" s="3" t="s">
        <v>22</v>
      </c>
      <c r="C26" s="23">
        <f t="shared" ref="C26:L26" si="15">C24-C25</f>
        <v>311.2200000000006</v>
      </c>
      <c r="D26" s="23">
        <f t="shared" si="15"/>
        <v>426.75999999999954</v>
      </c>
      <c r="E26" s="23">
        <f t="shared" si="15"/>
        <v>505.80999999999983</v>
      </c>
      <c r="F26" s="23">
        <f t="shared" si="15"/>
        <v>711.30999999999972</v>
      </c>
      <c r="G26" s="23">
        <f t="shared" si="15"/>
        <v>635.50000000000034</v>
      </c>
      <c r="H26" s="23">
        <f t="shared" si="15"/>
        <v>753.60000000000059</v>
      </c>
      <c r="I26" s="24">
        <f t="shared" si="15"/>
        <v>2134.9999999999995</v>
      </c>
      <c r="J26" s="64">
        <f t="shared" si="15"/>
        <v>1706.6000000000049</v>
      </c>
      <c r="K26" s="65">
        <f t="shared" si="15"/>
        <v>491.70000000000061</v>
      </c>
      <c r="L26" s="65">
        <f t="shared" si="15"/>
        <v>101.49999999999957</v>
      </c>
      <c r="N26" s="124" t="s">
        <v>115</v>
      </c>
      <c r="O26" s="124">
        <v>23.26</v>
      </c>
      <c r="P26" s="5">
        <v>8</v>
      </c>
      <c r="Q26" s="6">
        <v>12.77</v>
      </c>
      <c r="R26" s="6">
        <v>19.87</v>
      </c>
      <c r="S26" s="6">
        <v>27.78</v>
      </c>
      <c r="T26" s="6">
        <v>32.020000000000003</v>
      </c>
      <c r="U26" s="126">
        <f>18.2+47.8</f>
        <v>66</v>
      </c>
      <c r="V26" s="126">
        <f>15.3+84</f>
        <v>99.3</v>
      </c>
      <c r="W26" s="86">
        <v>63</v>
      </c>
      <c r="X26" s="39">
        <f>9.4+49.7</f>
        <v>59.1</v>
      </c>
    </row>
    <row r="27" spans="2:24" x14ac:dyDescent="0.25">
      <c r="B27" s="2" t="s">
        <v>8</v>
      </c>
      <c r="C27" s="20"/>
      <c r="D27" s="20">
        <f t="shared" ref="D27:I27" si="16">D26/C26-1</f>
        <v>0.37124863440652511</v>
      </c>
      <c r="E27" s="20">
        <f t="shared" si="16"/>
        <v>0.18523291779923223</v>
      </c>
      <c r="F27" s="20">
        <f t="shared" si="16"/>
        <v>0.4062790375832821</v>
      </c>
      <c r="G27" s="20">
        <f t="shared" si="16"/>
        <v>-0.10657800396451533</v>
      </c>
      <c r="H27" s="20">
        <f t="shared" si="16"/>
        <v>0.18583792289535839</v>
      </c>
      <c r="I27" s="21">
        <f t="shared" si="16"/>
        <v>1.8330679405520143</v>
      </c>
      <c r="J27" s="63">
        <f>J26/I26-1</f>
        <v>-0.20065573770491552</v>
      </c>
      <c r="K27" s="91">
        <f>K26/J26-1</f>
        <v>-0.71188327669049611</v>
      </c>
      <c r="L27" s="91"/>
      <c r="N27" s="124" t="s">
        <v>105</v>
      </c>
      <c r="O27" s="124"/>
      <c r="P27" s="5"/>
      <c r="Q27" s="6">
        <v>2.2200000000000002</v>
      </c>
      <c r="R27" s="6">
        <v>8.1999999999999993</v>
      </c>
      <c r="S27" s="6" t="s">
        <v>94</v>
      </c>
      <c r="T27" s="6">
        <v>368.4</v>
      </c>
      <c r="U27" s="126">
        <v>101.8</v>
      </c>
      <c r="V27" s="126">
        <v>117.4</v>
      </c>
      <c r="W27" s="86">
        <v>112</v>
      </c>
      <c r="X27" s="39">
        <v>128</v>
      </c>
    </row>
    <row r="28" spans="2:24" x14ac:dyDescent="0.25">
      <c r="B28" s="2" t="s">
        <v>9</v>
      </c>
      <c r="C28" s="20"/>
      <c r="D28" s="20"/>
      <c r="E28" s="20"/>
      <c r="F28" s="20">
        <f t="shared" ref="F28:K28" si="17">(F26/C26)^(1/3)-1</f>
        <v>0.31723664863819589</v>
      </c>
      <c r="G28" s="20">
        <f t="shared" si="17"/>
        <v>0.14194174525076342</v>
      </c>
      <c r="H28" s="20">
        <f t="shared" si="17"/>
        <v>0.14213601453584213</v>
      </c>
      <c r="I28" s="21">
        <f t="shared" si="17"/>
        <v>0.44249058870683577</v>
      </c>
      <c r="J28" s="63">
        <f t="shared" si="17"/>
        <v>0.38996989943351834</v>
      </c>
      <c r="K28" s="91">
        <f t="shared" si="17"/>
        <v>-0.13266586383679346</v>
      </c>
      <c r="L28" s="91"/>
      <c r="N28" s="124" t="s">
        <v>106</v>
      </c>
      <c r="O28" s="124">
        <v>5</v>
      </c>
      <c r="P28" s="5"/>
      <c r="Q28" s="6"/>
      <c r="R28" s="6" t="s">
        <v>94</v>
      </c>
      <c r="S28" s="6">
        <v>5.77</v>
      </c>
      <c r="T28" s="6" t="s">
        <v>94</v>
      </c>
      <c r="U28" s="126">
        <v>4.2</v>
      </c>
      <c r="V28" s="128" t="s">
        <v>94</v>
      </c>
      <c r="W28" s="49">
        <v>3.9</v>
      </c>
      <c r="X28" s="8">
        <v>0</v>
      </c>
    </row>
    <row r="29" spans="2:24" x14ac:dyDescent="0.25">
      <c r="B29" s="3" t="s">
        <v>23</v>
      </c>
      <c r="C29" s="25">
        <f t="shared" ref="C29:K29" si="18">C26/C6</f>
        <v>8.2307421737601277E-2</v>
      </c>
      <c r="D29" s="25">
        <f t="shared" si="18"/>
        <v>0.10384415104072872</v>
      </c>
      <c r="E29" s="25">
        <f t="shared" si="18"/>
        <v>0.10063006945287208</v>
      </c>
      <c r="F29" s="25">
        <f t="shared" si="18"/>
        <v>0.12034236099832164</v>
      </c>
      <c r="G29" s="25">
        <f t="shared" si="18"/>
        <v>6.3478903627936734E-2</v>
      </c>
      <c r="H29" s="25">
        <f t="shared" si="18"/>
        <v>2.9662634763065004E-2</v>
      </c>
      <c r="I29" s="26">
        <f t="shared" si="18"/>
        <v>6.7190130761120972E-2</v>
      </c>
      <c r="J29" s="69">
        <f t="shared" si="18"/>
        <v>4.9517188551797917E-2</v>
      </c>
      <c r="K29" s="70">
        <f t="shared" si="18"/>
        <v>1.5371917878881685E-2</v>
      </c>
      <c r="L29" s="70">
        <f>L26/L6</f>
        <v>1.2774526461519045E-2</v>
      </c>
      <c r="N29" s="124" t="s">
        <v>107</v>
      </c>
      <c r="O29" s="124">
        <v>6.19</v>
      </c>
      <c r="P29" s="5">
        <v>3.72</v>
      </c>
      <c r="Q29" s="6">
        <v>5.41</v>
      </c>
      <c r="R29" s="6">
        <v>35.71</v>
      </c>
      <c r="S29" s="6">
        <v>6.57</v>
      </c>
      <c r="T29" s="6">
        <v>74.39</v>
      </c>
      <c r="U29" s="126">
        <v>69.7</v>
      </c>
      <c r="V29" s="133">
        <v>364</v>
      </c>
      <c r="W29" s="86">
        <v>260.8</v>
      </c>
      <c r="X29" s="8">
        <v>235.6</v>
      </c>
    </row>
    <row r="30" spans="2:24" x14ac:dyDescent="0.25">
      <c r="B30" s="124" t="s">
        <v>24</v>
      </c>
      <c r="C30" s="27">
        <v>-12.59</v>
      </c>
      <c r="D30" s="27">
        <v>-17.11</v>
      </c>
      <c r="E30" s="27">
        <v>-4.72</v>
      </c>
      <c r="F30" s="27">
        <v>109.37</v>
      </c>
      <c r="G30" s="27">
        <v>219</v>
      </c>
      <c r="H30" s="128">
        <v>731.8</v>
      </c>
      <c r="I30" s="28">
        <v>1075.0999999999999</v>
      </c>
      <c r="J30" s="73">
        <v>-52.2</v>
      </c>
      <c r="K30" s="39">
        <v>135.1</v>
      </c>
      <c r="L30" s="39">
        <v>550.9</v>
      </c>
      <c r="N30" s="3" t="s">
        <v>39</v>
      </c>
      <c r="O30" s="4">
        <f t="shared" ref="O30:W30" si="19">SUM(O31:O40)</f>
        <v>1946.9599999999998</v>
      </c>
      <c r="P30" s="4">
        <f t="shared" si="19"/>
        <v>2530.8700000000003</v>
      </c>
      <c r="Q30" s="23">
        <f t="shared" si="19"/>
        <v>3117.91</v>
      </c>
      <c r="R30" s="23">
        <f t="shared" si="19"/>
        <v>3449.3699999999994</v>
      </c>
      <c r="S30" s="23">
        <f t="shared" si="19"/>
        <v>3899.43</v>
      </c>
      <c r="T30" s="23">
        <f t="shared" si="19"/>
        <v>13225.310000000001</v>
      </c>
      <c r="U30" s="23">
        <f t="shared" si="19"/>
        <v>16886.500000000004</v>
      </c>
      <c r="V30" s="23">
        <f t="shared" si="19"/>
        <v>20698.599999999999</v>
      </c>
      <c r="W30" s="65">
        <f t="shared" si="19"/>
        <v>18515.800000000003</v>
      </c>
      <c r="X30" s="65">
        <f>SUM(X31:X40)</f>
        <v>18838.5</v>
      </c>
    </row>
    <row r="31" spans="2:24" x14ac:dyDescent="0.25">
      <c r="B31" s="3" t="s">
        <v>25</v>
      </c>
      <c r="C31" s="23">
        <f t="shared" ref="C31:H31" si="20">SUM(C26+C30)</f>
        <v>298.63000000000062</v>
      </c>
      <c r="D31" s="23">
        <f t="shared" si="20"/>
        <v>409.64999999999952</v>
      </c>
      <c r="E31" s="23">
        <f t="shared" si="20"/>
        <v>501.0899999999998</v>
      </c>
      <c r="F31" s="23">
        <f t="shared" si="20"/>
        <v>820.67999999999972</v>
      </c>
      <c r="G31" s="23">
        <f t="shared" si="20"/>
        <v>854.50000000000034</v>
      </c>
      <c r="H31" s="23">
        <f t="shared" si="20"/>
        <v>1485.4000000000005</v>
      </c>
      <c r="I31" s="24">
        <f>I26+I30</f>
        <v>3210.0999999999995</v>
      </c>
      <c r="J31" s="64">
        <f>J26+J30</f>
        <v>1654.4000000000049</v>
      </c>
      <c r="K31" s="65">
        <f>K26+K30</f>
        <v>626.80000000000064</v>
      </c>
      <c r="L31" s="65">
        <f>L26+L30</f>
        <v>652.39999999999952</v>
      </c>
      <c r="N31" s="124" t="s">
        <v>40</v>
      </c>
      <c r="O31" s="133">
        <v>708.57</v>
      </c>
      <c r="P31" s="6">
        <v>822.47</v>
      </c>
      <c r="Q31" s="6">
        <v>956.41</v>
      </c>
      <c r="R31" s="6">
        <v>1154.55</v>
      </c>
      <c r="S31" s="125">
        <v>1258.24</v>
      </c>
      <c r="T31" s="6">
        <v>5764.4</v>
      </c>
      <c r="U31" s="126">
        <v>6695.3</v>
      </c>
      <c r="V31" s="126">
        <v>7709.4</v>
      </c>
      <c r="W31" s="86">
        <v>6253.6</v>
      </c>
      <c r="X31" s="39">
        <v>5403.1</v>
      </c>
    </row>
    <row r="32" spans="2:24" x14ac:dyDescent="0.25">
      <c r="B32" s="2" t="s">
        <v>8</v>
      </c>
      <c r="C32" s="134"/>
      <c r="D32" s="30">
        <f t="shared" ref="D32:I32" si="21">D31/C31-1</f>
        <v>0.37176439071760603</v>
      </c>
      <c r="E32" s="30">
        <f t="shared" si="21"/>
        <v>0.22321493958257133</v>
      </c>
      <c r="F32" s="30">
        <f t="shared" si="21"/>
        <v>0.63778961863138361</v>
      </c>
      <c r="G32" s="30">
        <f t="shared" si="21"/>
        <v>4.1209728517815236E-2</v>
      </c>
      <c r="H32" s="30">
        <f t="shared" si="21"/>
        <v>0.73832650672908118</v>
      </c>
      <c r="I32" s="31">
        <f t="shared" si="21"/>
        <v>1.1611013868318287</v>
      </c>
      <c r="J32" s="74">
        <f>J31/I31-1</f>
        <v>-0.48462664714494719</v>
      </c>
      <c r="K32" s="93">
        <f>K31/J31-1</f>
        <v>-0.62113152804642247</v>
      </c>
      <c r="L32" s="93"/>
      <c r="N32" s="124" t="s">
        <v>38</v>
      </c>
      <c r="O32" s="128"/>
      <c r="P32" s="126"/>
      <c r="Q32" s="126"/>
      <c r="R32" s="126"/>
      <c r="S32" s="126"/>
      <c r="T32" s="126"/>
      <c r="U32" s="126"/>
      <c r="V32" s="126"/>
      <c r="W32" s="86"/>
      <c r="X32" s="8"/>
    </row>
    <row r="33" spans="2:24" x14ac:dyDescent="0.25">
      <c r="B33" s="2" t="s">
        <v>26</v>
      </c>
      <c r="C33" s="134"/>
      <c r="D33" s="134"/>
      <c r="E33" s="134"/>
      <c r="F33" s="20">
        <f t="shared" ref="F33:K33" si="22">(F31/C31)^(1/3)-1</f>
        <v>0.40070540717761971</v>
      </c>
      <c r="G33" s="20">
        <f t="shared" si="22"/>
        <v>0.27771218340561754</v>
      </c>
      <c r="H33" s="20">
        <f t="shared" si="22"/>
        <v>0.43651189965789006</v>
      </c>
      <c r="I33" s="21">
        <f t="shared" si="22"/>
        <v>0.57560821784944216</v>
      </c>
      <c r="J33" s="63">
        <f t="shared" si="22"/>
        <v>0.24635803581251547</v>
      </c>
      <c r="K33" s="91">
        <f t="shared" si="22"/>
        <v>-0.24994140956105626</v>
      </c>
      <c r="L33" s="91"/>
      <c r="N33" s="124" t="s">
        <v>116</v>
      </c>
      <c r="O33" s="128">
        <v>159.66</v>
      </c>
      <c r="P33" s="126">
        <v>450.64</v>
      </c>
      <c r="Q33" s="126">
        <v>496.92</v>
      </c>
      <c r="R33" s="126">
        <v>471.98</v>
      </c>
      <c r="S33" s="126">
        <v>356.63</v>
      </c>
      <c r="T33" s="126">
        <v>6.68</v>
      </c>
      <c r="U33" s="126">
        <v>0.8</v>
      </c>
      <c r="V33" s="126" t="s">
        <v>94</v>
      </c>
      <c r="W33" s="6" t="s">
        <v>94</v>
      </c>
      <c r="X33" s="8"/>
    </row>
    <row r="34" spans="2:24" x14ac:dyDescent="0.25">
      <c r="B34" s="124"/>
      <c r="C34" s="128"/>
      <c r="D34" s="128"/>
      <c r="E34" s="128"/>
      <c r="F34" s="128"/>
      <c r="G34" s="128"/>
      <c r="H34" s="128"/>
      <c r="I34" s="131"/>
      <c r="J34" s="68"/>
      <c r="K34" s="49"/>
      <c r="L34" s="116"/>
      <c r="N34" s="135" t="s">
        <v>46</v>
      </c>
      <c r="O34" s="133">
        <v>486.79</v>
      </c>
      <c r="P34" s="6">
        <v>699.04</v>
      </c>
      <c r="Q34" s="6">
        <v>505.29</v>
      </c>
      <c r="R34" s="6">
        <v>672.05</v>
      </c>
      <c r="S34" s="6">
        <v>743.29</v>
      </c>
      <c r="T34" s="6">
        <v>3096.14</v>
      </c>
      <c r="U34" s="126">
        <v>3562.3</v>
      </c>
      <c r="V34" s="126">
        <v>4355.3</v>
      </c>
      <c r="W34" s="86">
        <v>4328.3</v>
      </c>
      <c r="X34" s="39">
        <v>3867.9</v>
      </c>
    </row>
    <row r="35" spans="2:24" x14ac:dyDescent="0.25">
      <c r="B35" s="3" t="s">
        <v>27</v>
      </c>
      <c r="C35" s="32">
        <f>21.29/3</f>
        <v>7.0966666666666667</v>
      </c>
      <c r="D35" s="32">
        <f>29.2/3</f>
        <v>9.7333333333333325</v>
      </c>
      <c r="E35" s="32">
        <f>34.6/3</f>
        <v>11.533333333333333</v>
      </c>
      <c r="F35" s="32">
        <f>48.66/3</f>
        <v>16.22</v>
      </c>
      <c r="G35" s="33">
        <f>50.24/3</f>
        <v>16.746666666666666</v>
      </c>
      <c r="H35" s="33">
        <f>58.18/3</f>
        <v>19.393333333333334</v>
      </c>
      <c r="I35" s="34">
        <v>37.520000000000003</v>
      </c>
      <c r="J35" s="75">
        <v>39.020000000000003</v>
      </c>
      <c r="K35" s="76">
        <v>11.78</v>
      </c>
      <c r="L35" s="76">
        <v>2.48</v>
      </c>
      <c r="N35" s="135" t="s">
        <v>47</v>
      </c>
      <c r="O35" s="128">
        <v>363.48</v>
      </c>
      <c r="P35" s="6">
        <v>311.02999999999997</v>
      </c>
      <c r="Q35" s="6">
        <v>665.66</v>
      </c>
      <c r="R35" s="6">
        <v>754.16</v>
      </c>
      <c r="S35" s="6">
        <v>477.75</v>
      </c>
      <c r="T35" s="6">
        <v>2434.69</v>
      </c>
      <c r="U35" s="126">
        <v>2905.8</v>
      </c>
      <c r="V35" s="126">
        <v>3114.8</v>
      </c>
      <c r="W35" s="86">
        <v>3196.3</v>
      </c>
      <c r="X35" s="39">
        <v>4448.1000000000004</v>
      </c>
    </row>
    <row r="36" spans="2:24" x14ac:dyDescent="0.25">
      <c r="B36" s="2" t="s">
        <v>8</v>
      </c>
      <c r="C36" s="20"/>
      <c r="D36" s="20">
        <f t="shared" ref="D36:I36" si="23">D35/C35-1</f>
        <v>0.37153593236261151</v>
      </c>
      <c r="E36" s="20">
        <f t="shared" si="23"/>
        <v>0.18493150684931514</v>
      </c>
      <c r="F36" s="20">
        <f t="shared" si="23"/>
        <v>0.40635838150289016</v>
      </c>
      <c r="G36" s="20">
        <f t="shared" si="23"/>
        <v>3.2470201397451826E-2</v>
      </c>
      <c r="H36" s="20">
        <f t="shared" si="23"/>
        <v>0.15804140127388555</v>
      </c>
      <c r="I36" s="21">
        <f t="shared" si="23"/>
        <v>0.93468545892059129</v>
      </c>
      <c r="J36" s="63">
        <f>J35/I35-1</f>
        <v>3.9978678038379512E-2</v>
      </c>
      <c r="K36" s="91">
        <f>K35/J35-1</f>
        <v>-0.69810353664787295</v>
      </c>
      <c r="L36" s="91"/>
      <c r="N36" s="135" t="s">
        <v>48</v>
      </c>
      <c r="O36" s="128">
        <v>172.78</v>
      </c>
      <c r="P36" s="6">
        <v>5.46</v>
      </c>
      <c r="Q36" s="6">
        <v>2.23</v>
      </c>
      <c r="R36" s="6">
        <v>3.83</v>
      </c>
      <c r="S36" s="6">
        <v>286.14</v>
      </c>
      <c r="T36" s="6">
        <v>488.06</v>
      </c>
      <c r="U36" s="126">
        <v>371.6</v>
      </c>
      <c r="V36" s="126">
        <v>601.29999999999995</v>
      </c>
      <c r="W36" s="86">
        <v>239.4</v>
      </c>
      <c r="X36" s="39">
        <v>222.9</v>
      </c>
    </row>
    <row r="37" spans="2:24" x14ac:dyDescent="0.25">
      <c r="B37" s="2" t="s">
        <v>9</v>
      </c>
      <c r="C37" s="20"/>
      <c r="D37" s="20"/>
      <c r="E37" s="20"/>
      <c r="F37" s="20">
        <f t="shared" ref="F37:K37" si="24">(F35/C35)^(1/3)-1</f>
        <v>0.31724173126491584</v>
      </c>
      <c r="G37" s="20">
        <f t="shared" si="24"/>
        <v>0.19827250163393284</v>
      </c>
      <c r="H37" s="20">
        <f t="shared" si="24"/>
        <v>0.1891387714829984</v>
      </c>
      <c r="I37" s="21">
        <f t="shared" si="24"/>
        <v>0.32252531342116786</v>
      </c>
      <c r="J37" s="91">
        <f t="shared" si="24"/>
        <v>0.32572352530103688</v>
      </c>
      <c r="K37" s="91">
        <f t="shared" si="24"/>
        <v>-0.15310232078843833</v>
      </c>
      <c r="L37" s="91"/>
      <c r="N37" s="124" t="s">
        <v>49</v>
      </c>
      <c r="O37" s="128">
        <v>10.039999999999999</v>
      </c>
      <c r="P37" s="6">
        <v>94.23</v>
      </c>
      <c r="Q37" s="6">
        <v>2.73</v>
      </c>
      <c r="R37" s="6">
        <v>79.73</v>
      </c>
      <c r="S37" s="6">
        <v>169.73</v>
      </c>
      <c r="T37" s="6">
        <v>0.78</v>
      </c>
      <c r="U37" s="126">
        <v>4.2</v>
      </c>
      <c r="V37" s="126">
        <v>7.4</v>
      </c>
      <c r="W37" s="86">
        <v>35.200000000000003</v>
      </c>
      <c r="X37" s="39">
        <v>26.5</v>
      </c>
    </row>
    <row r="38" spans="2:24" x14ac:dyDescent="0.25">
      <c r="C38" s="136"/>
      <c r="D38" s="136"/>
      <c r="E38" s="136"/>
      <c r="F38" s="136"/>
      <c r="G38" s="136"/>
      <c r="H38" s="136"/>
      <c r="I38" s="136"/>
      <c r="J38" s="110"/>
      <c r="K38" s="110"/>
      <c r="L38" s="111"/>
      <c r="N38" s="135" t="s">
        <v>50</v>
      </c>
      <c r="O38" s="128">
        <v>14.87</v>
      </c>
      <c r="P38" s="6">
        <v>101.67</v>
      </c>
      <c r="Q38" s="6">
        <v>410.98</v>
      </c>
      <c r="R38" s="6">
        <v>236.01</v>
      </c>
      <c r="S38" s="6">
        <v>423.21</v>
      </c>
      <c r="T38" s="6">
        <v>742.11</v>
      </c>
      <c r="U38" s="126">
        <v>884.1</v>
      </c>
      <c r="V38" s="126">
        <v>2907.3</v>
      </c>
      <c r="W38" s="86">
        <v>3047</v>
      </c>
      <c r="X38" s="39">
        <v>3120</v>
      </c>
    </row>
    <row r="39" spans="2:24" ht="14.1" customHeight="1" x14ac:dyDescent="0.25">
      <c r="B39" s="1" t="s">
        <v>55</v>
      </c>
      <c r="C39" s="35" t="s">
        <v>2</v>
      </c>
      <c r="D39" s="35" t="s">
        <v>3</v>
      </c>
      <c r="E39" s="35" t="s">
        <v>4</v>
      </c>
      <c r="F39" s="35" t="s">
        <v>5</v>
      </c>
      <c r="G39" s="35" t="s">
        <v>6</v>
      </c>
      <c r="H39" s="35" t="s">
        <v>91</v>
      </c>
      <c r="I39" s="36" t="s">
        <v>121</v>
      </c>
      <c r="J39" s="43" t="s">
        <v>123</v>
      </c>
      <c r="K39" s="43" t="s">
        <v>124</v>
      </c>
      <c r="L39" s="98"/>
      <c r="N39" s="124" t="s">
        <v>117</v>
      </c>
      <c r="O39" s="128"/>
      <c r="P39" s="126"/>
      <c r="Q39" s="126"/>
      <c r="R39" s="126"/>
      <c r="S39" s="126"/>
      <c r="T39" s="126">
        <v>0</v>
      </c>
      <c r="U39" s="126">
        <v>1271.7</v>
      </c>
      <c r="V39" s="126" t="s">
        <v>94</v>
      </c>
      <c r="W39" s="86">
        <v>2.1</v>
      </c>
      <c r="X39" s="39">
        <v>464.7</v>
      </c>
    </row>
    <row r="40" spans="2:24" ht="14.1" customHeight="1" x14ac:dyDescent="0.25">
      <c r="B40" s="137" t="s">
        <v>56</v>
      </c>
      <c r="C40" s="126">
        <v>363.48</v>
      </c>
      <c r="D40" s="126">
        <v>311.02999999999997</v>
      </c>
      <c r="E40" s="126">
        <v>665.66</v>
      </c>
      <c r="F40" s="126">
        <v>754.16</v>
      </c>
      <c r="G40" s="126">
        <f>477.8</f>
        <v>477.8</v>
      </c>
      <c r="H40" s="126">
        <v>2434.6999999999998</v>
      </c>
      <c r="I40" s="129">
        <v>2905.8</v>
      </c>
      <c r="J40" s="67">
        <v>3114.8</v>
      </c>
      <c r="K40" s="6">
        <v>3196.3</v>
      </c>
      <c r="L40" s="95"/>
      <c r="N40" s="124" t="s">
        <v>51</v>
      </c>
      <c r="O40" s="128">
        <v>30.77</v>
      </c>
      <c r="P40" s="126">
        <v>46.33</v>
      </c>
      <c r="Q40" s="126">
        <v>77.69</v>
      </c>
      <c r="R40" s="126">
        <v>77.06</v>
      </c>
      <c r="S40" s="126">
        <v>184.44</v>
      </c>
      <c r="T40" s="126">
        <v>692.45</v>
      </c>
      <c r="U40" s="126">
        <v>1190.7</v>
      </c>
      <c r="V40" s="126">
        <v>2003.1</v>
      </c>
      <c r="W40" s="86">
        <v>1413.9</v>
      </c>
      <c r="X40" s="39">
        <v>1285.3</v>
      </c>
    </row>
    <row r="41" spans="2:24" x14ac:dyDescent="0.25">
      <c r="B41" s="124" t="s">
        <v>57</v>
      </c>
      <c r="C41" s="126">
        <v>224.6</v>
      </c>
      <c r="D41" s="126">
        <v>677.36</v>
      </c>
      <c r="E41" s="126">
        <v>270.37</v>
      </c>
      <c r="F41" s="126">
        <v>267.02999999999997</v>
      </c>
      <c r="G41" s="126">
        <v>1567.2</v>
      </c>
      <c r="H41" s="126">
        <v>2363.9</v>
      </c>
      <c r="I41" s="129">
        <v>1847.5</v>
      </c>
      <c r="J41" s="67">
        <v>2838.9</v>
      </c>
      <c r="K41" s="6">
        <v>3781</v>
      </c>
      <c r="L41" s="95"/>
      <c r="N41" s="3" t="s">
        <v>41</v>
      </c>
      <c r="O41" s="4">
        <f>SUM(O42:O48)</f>
        <v>834.3900000000001</v>
      </c>
      <c r="P41" s="4">
        <f>SUM(P42:P48)</f>
        <v>1137.8</v>
      </c>
      <c r="Q41" s="23">
        <f>SUM(Q42:Q48)</f>
        <v>1472.58</v>
      </c>
      <c r="R41" s="23">
        <f>SUM(R42:R48)</f>
        <v>1446.62</v>
      </c>
      <c r="S41" s="23">
        <f>SUM(S42:S48)+S11</f>
        <v>1644.61</v>
      </c>
      <c r="T41" s="23">
        <f>SUM(T42:T48)+T11</f>
        <v>8126.72</v>
      </c>
      <c r="U41" s="23">
        <f>SUM(U42:U48)+U11</f>
        <v>10707.6</v>
      </c>
      <c r="V41" s="23">
        <f>SUM(V43:V48)+V11</f>
        <v>13907</v>
      </c>
      <c r="W41" s="65">
        <f>SUM(W43:W49)+W11</f>
        <v>11647.899999999998</v>
      </c>
      <c r="X41" s="65">
        <f>SUM(X43:X49)+X11</f>
        <v>11307</v>
      </c>
    </row>
    <row r="42" spans="2:24" x14ac:dyDescent="0.25">
      <c r="B42" s="124" t="s">
        <v>58</v>
      </c>
      <c r="C42" s="126">
        <v>-214.51</v>
      </c>
      <c r="D42" s="126">
        <v>-242.02</v>
      </c>
      <c r="E42" s="126">
        <v>-80.61</v>
      </c>
      <c r="F42" s="126">
        <v>-497.04</v>
      </c>
      <c r="G42" s="126">
        <v>-659.6</v>
      </c>
      <c r="H42" s="126">
        <v>-1165.5999999999999</v>
      </c>
      <c r="I42" s="129">
        <v>-3111.4</v>
      </c>
      <c r="J42" s="67">
        <v>-317</v>
      </c>
      <c r="K42" s="6">
        <v>-523</v>
      </c>
      <c r="L42" s="95"/>
      <c r="N42" s="124" t="s">
        <v>108</v>
      </c>
      <c r="O42" s="124"/>
      <c r="P42" s="127"/>
      <c r="Q42" s="126"/>
      <c r="R42" s="126"/>
      <c r="S42" s="126"/>
      <c r="T42" s="126"/>
      <c r="U42" s="6"/>
      <c r="V42" s="6"/>
      <c r="W42" s="49"/>
      <c r="X42" s="8"/>
    </row>
    <row r="43" spans="2:24" x14ac:dyDescent="0.25">
      <c r="B43" s="124" t="s">
        <v>59</v>
      </c>
      <c r="C43" s="126">
        <v>-62.54</v>
      </c>
      <c r="D43" s="126">
        <v>-80.709999999999994</v>
      </c>
      <c r="E43" s="126">
        <f>-98.29-2.97</f>
        <v>-101.26</v>
      </c>
      <c r="F43" s="126">
        <v>-46.4</v>
      </c>
      <c r="G43" s="126">
        <v>1049.3</v>
      </c>
      <c r="H43" s="126">
        <v>-553.20000000000005</v>
      </c>
      <c r="I43" s="129">
        <v>1298.9000000000001</v>
      </c>
      <c r="J43" s="67">
        <v>-2440.4</v>
      </c>
      <c r="K43" s="6">
        <v>-2006.2</v>
      </c>
      <c r="L43" s="95"/>
      <c r="N43" s="124" t="s">
        <v>109</v>
      </c>
      <c r="O43" s="124"/>
      <c r="P43" s="6"/>
      <c r="Q43" s="6"/>
      <c r="R43" s="6"/>
      <c r="S43" s="6">
        <v>55.4</v>
      </c>
      <c r="T43" s="6">
        <v>193.91</v>
      </c>
      <c r="U43" s="6">
        <v>215</v>
      </c>
      <c r="V43" s="6">
        <v>325.2</v>
      </c>
      <c r="W43" s="49">
        <v>384.9</v>
      </c>
      <c r="X43" s="39">
        <v>401.3</v>
      </c>
    </row>
    <row r="44" spans="2:24" x14ac:dyDescent="0.25">
      <c r="B44" s="124" t="s">
        <v>60</v>
      </c>
      <c r="C44" s="126">
        <f t="shared" ref="C44:H44" si="25">C41+C42+C43</f>
        <v>-52.449999999999996</v>
      </c>
      <c r="D44" s="126">
        <f t="shared" si="25"/>
        <v>354.63000000000005</v>
      </c>
      <c r="E44" s="126">
        <f t="shared" si="25"/>
        <v>88.499999999999986</v>
      </c>
      <c r="F44" s="126">
        <f>F41+F42+F43</f>
        <v>-276.41000000000003</v>
      </c>
      <c r="G44" s="126">
        <f t="shared" si="25"/>
        <v>1956.9</v>
      </c>
      <c r="H44" s="126">
        <f t="shared" si="25"/>
        <v>645.10000000000014</v>
      </c>
      <c r="I44" s="129">
        <f>I41+I42+I43</f>
        <v>35</v>
      </c>
      <c r="J44" s="67">
        <f>J41+J42+J43</f>
        <v>81.5</v>
      </c>
      <c r="K44" s="6">
        <f>K41+K42+K43</f>
        <v>1251.8</v>
      </c>
      <c r="L44" s="95"/>
      <c r="N44" s="124" t="s">
        <v>110</v>
      </c>
      <c r="O44" s="124">
        <v>306.85000000000002</v>
      </c>
      <c r="P44" s="127">
        <v>546.05999999999995</v>
      </c>
      <c r="Q44" s="126">
        <v>608.45000000000005</v>
      </c>
      <c r="R44" s="128">
        <v>639.1</v>
      </c>
      <c r="S44" s="128">
        <v>641.5200000000001</v>
      </c>
      <c r="T44" s="133">
        <f>44.1+2977.5</f>
        <v>3021.6</v>
      </c>
      <c r="U44" s="6">
        <f>(27+3884.9)</f>
        <v>3911.9</v>
      </c>
      <c r="V44" s="6">
        <v>5367.3</v>
      </c>
      <c r="W44" s="12">
        <v>4024.7</v>
      </c>
      <c r="X44" s="39">
        <f>173.3+3832.3</f>
        <v>4005.6000000000004</v>
      </c>
    </row>
    <row r="45" spans="2:24" x14ac:dyDescent="0.25">
      <c r="B45" s="124" t="s">
        <v>96</v>
      </c>
      <c r="C45" s="128" t="s">
        <v>94</v>
      </c>
      <c r="D45" s="128" t="s">
        <v>94</v>
      </c>
      <c r="E45" s="128" t="s">
        <v>94</v>
      </c>
      <c r="F45" s="128" t="s">
        <v>94</v>
      </c>
      <c r="G45" s="128" t="s">
        <v>94</v>
      </c>
      <c r="H45" s="126">
        <v>-174</v>
      </c>
      <c r="I45" s="129">
        <v>174</v>
      </c>
      <c r="J45" s="68" t="s">
        <v>94</v>
      </c>
      <c r="K45" s="49"/>
      <c r="L45" s="96"/>
      <c r="N45" s="124" t="s">
        <v>111</v>
      </c>
      <c r="O45" s="124">
        <v>52.79</v>
      </c>
      <c r="P45" s="6">
        <v>79.22</v>
      </c>
      <c r="Q45" s="6">
        <v>95.64</v>
      </c>
      <c r="R45" s="6">
        <v>93.59</v>
      </c>
      <c r="S45" s="6">
        <v>135.6</v>
      </c>
      <c r="T45" s="6">
        <v>300.3</v>
      </c>
      <c r="U45" s="6">
        <v>352.2</v>
      </c>
      <c r="V45" s="6">
        <v>496.9</v>
      </c>
      <c r="W45" s="49">
        <v>652.70000000000005</v>
      </c>
      <c r="X45" s="39">
        <v>602.5</v>
      </c>
    </row>
    <row r="46" spans="2:24" x14ac:dyDescent="0.25">
      <c r="B46" s="3" t="s">
        <v>61</v>
      </c>
      <c r="C46" s="23">
        <f>C40+C44</f>
        <v>311.03000000000003</v>
      </c>
      <c r="D46" s="23">
        <f>D40+D44</f>
        <v>665.66000000000008</v>
      </c>
      <c r="E46" s="23">
        <f>E40+E44</f>
        <v>754.16</v>
      </c>
      <c r="F46" s="23">
        <f>F40+F44</f>
        <v>477.74999999999994</v>
      </c>
      <c r="G46" s="23">
        <f>G40+G44</f>
        <v>2434.7000000000003</v>
      </c>
      <c r="H46" s="23">
        <f>H40+H44+H45</f>
        <v>2905.8</v>
      </c>
      <c r="I46" s="24">
        <f>I40+I44+I45</f>
        <v>3114.8</v>
      </c>
      <c r="J46" s="78">
        <f>J40+J44</f>
        <v>3196.3</v>
      </c>
      <c r="K46" s="65">
        <f>K40+K44</f>
        <v>4448.1000000000004</v>
      </c>
      <c r="L46" s="117"/>
      <c r="N46" s="124" t="s">
        <v>112</v>
      </c>
      <c r="O46" s="124">
        <v>25.41</v>
      </c>
      <c r="P46" s="6">
        <v>19.8</v>
      </c>
      <c r="Q46" s="6">
        <v>29.14</v>
      </c>
      <c r="R46" s="6">
        <v>30.05</v>
      </c>
      <c r="S46" s="6">
        <v>48.18</v>
      </c>
      <c r="T46" s="6">
        <v>1010.3</v>
      </c>
      <c r="U46" s="6">
        <v>1257.4000000000001</v>
      </c>
      <c r="V46" s="6">
        <v>1790.8</v>
      </c>
      <c r="W46" s="49">
        <v>1706.7</v>
      </c>
      <c r="X46" s="39">
        <v>1612.6</v>
      </c>
    </row>
    <row r="47" spans="2:24" x14ac:dyDescent="0.25">
      <c r="C47" s="136"/>
      <c r="D47" s="136"/>
      <c r="E47" s="136"/>
      <c r="F47" s="136"/>
      <c r="G47" s="136"/>
      <c r="H47" s="136"/>
      <c r="I47" s="136"/>
      <c r="J47" s="79"/>
      <c r="K47" s="49"/>
      <c r="L47" s="118"/>
      <c r="N47" s="124" t="s">
        <v>113</v>
      </c>
      <c r="O47" s="124"/>
      <c r="P47" s="6">
        <v>5.36</v>
      </c>
      <c r="Q47" s="6">
        <v>10.73</v>
      </c>
      <c r="R47" s="6">
        <v>23.02</v>
      </c>
      <c r="S47" s="6" t="s">
        <v>94</v>
      </c>
      <c r="T47" s="6">
        <v>176.51</v>
      </c>
      <c r="U47" s="6">
        <v>49.5</v>
      </c>
      <c r="V47" s="6">
        <v>93.9</v>
      </c>
      <c r="W47" s="49">
        <v>136</v>
      </c>
      <c r="X47" s="39">
        <v>57.6</v>
      </c>
    </row>
    <row r="48" spans="2:24" x14ac:dyDescent="0.25">
      <c r="B48" s="7" t="s">
        <v>63</v>
      </c>
      <c r="C48" s="37">
        <f t="shared" ref="C48:K48" si="26">C41</f>
        <v>224.6</v>
      </c>
      <c r="D48" s="37">
        <f t="shared" si="26"/>
        <v>677.36</v>
      </c>
      <c r="E48" s="37">
        <f t="shared" si="26"/>
        <v>270.37</v>
      </c>
      <c r="F48" s="37">
        <f t="shared" si="26"/>
        <v>267.02999999999997</v>
      </c>
      <c r="G48" s="37">
        <f t="shared" si="26"/>
        <v>1567.2</v>
      </c>
      <c r="H48" s="37">
        <f t="shared" si="26"/>
        <v>2363.9</v>
      </c>
      <c r="I48" s="38">
        <f t="shared" si="26"/>
        <v>1847.5</v>
      </c>
      <c r="J48" s="38">
        <f t="shared" si="26"/>
        <v>2838.9</v>
      </c>
      <c r="K48" s="37">
        <f t="shared" si="26"/>
        <v>3781</v>
      </c>
      <c r="L48" s="99"/>
      <c r="N48" s="124" t="s">
        <v>114</v>
      </c>
      <c r="O48" s="124">
        <v>449.34</v>
      </c>
      <c r="P48" s="6">
        <v>487.36</v>
      </c>
      <c r="Q48" s="6">
        <v>728.62</v>
      </c>
      <c r="R48" s="6">
        <v>660.86</v>
      </c>
      <c r="S48" s="6">
        <v>651.65</v>
      </c>
      <c r="T48" s="6">
        <v>2935</v>
      </c>
      <c r="U48" s="6">
        <f>(4148.3+220.2)</f>
        <v>4368.5</v>
      </c>
      <c r="V48" s="6">
        <v>4272.8</v>
      </c>
      <c r="W48" s="49">
        <v>2635.6</v>
      </c>
      <c r="X48" s="39">
        <v>2457.6</v>
      </c>
    </row>
    <row r="49" spans="2:25" x14ac:dyDescent="0.25">
      <c r="B49" s="8" t="s">
        <v>64</v>
      </c>
      <c r="C49" s="39">
        <v>144.35</v>
      </c>
      <c r="D49" s="39">
        <v>238.72</v>
      </c>
      <c r="E49" s="39">
        <v>162.12</v>
      </c>
      <c r="F49" s="39">
        <v>355.96</v>
      </c>
      <c r="G49" s="39">
        <v>791</v>
      </c>
      <c r="H49" s="39">
        <v>1316.6</v>
      </c>
      <c r="I49" s="40">
        <f>688.4+864.6</f>
        <v>1553</v>
      </c>
      <c r="J49" s="40">
        <f>637.8+231.5-11.7</f>
        <v>857.59999999999991</v>
      </c>
      <c r="K49" s="39">
        <v>629.29999999999995</v>
      </c>
      <c r="L49" s="97"/>
      <c r="N49" s="124" t="s">
        <v>122</v>
      </c>
      <c r="O49" s="124"/>
      <c r="P49" s="124"/>
      <c r="Q49" s="6" t="s">
        <v>94</v>
      </c>
      <c r="R49" s="6" t="s">
        <v>94</v>
      </c>
      <c r="S49" s="6" t="s">
        <v>94</v>
      </c>
      <c r="T49" s="6" t="s">
        <v>94</v>
      </c>
      <c r="U49" s="6" t="s">
        <v>94</v>
      </c>
      <c r="V49" s="6" t="s">
        <v>94</v>
      </c>
      <c r="W49" s="49">
        <v>0.8</v>
      </c>
      <c r="X49" s="39">
        <v>0</v>
      </c>
    </row>
    <row r="50" spans="2:25" x14ac:dyDescent="0.25">
      <c r="B50" s="9" t="s">
        <v>65</v>
      </c>
      <c r="C50" s="41">
        <f t="shared" ref="C50:K50" si="27">C48-C49</f>
        <v>80.25</v>
      </c>
      <c r="D50" s="41">
        <f t="shared" si="27"/>
        <v>438.64</v>
      </c>
      <c r="E50" s="41">
        <f t="shared" si="27"/>
        <v>108.25</v>
      </c>
      <c r="F50" s="41">
        <f t="shared" si="27"/>
        <v>-88.93</v>
      </c>
      <c r="G50" s="41">
        <f t="shared" si="27"/>
        <v>776.2</v>
      </c>
      <c r="H50" s="41">
        <f t="shared" si="27"/>
        <v>1047.3000000000002</v>
      </c>
      <c r="I50" s="42">
        <f t="shared" si="27"/>
        <v>294.5</v>
      </c>
      <c r="J50" s="42">
        <f t="shared" si="27"/>
        <v>1981.3000000000002</v>
      </c>
      <c r="K50" s="41">
        <f t="shared" si="27"/>
        <v>3151.7</v>
      </c>
      <c r="L50" s="99"/>
      <c r="N50" s="3" t="s">
        <v>42</v>
      </c>
      <c r="O50" s="4">
        <f t="shared" ref="O50:X50" si="28">O30-O41</f>
        <v>1112.5699999999997</v>
      </c>
      <c r="P50" s="4">
        <f t="shared" si="28"/>
        <v>1393.0700000000004</v>
      </c>
      <c r="Q50" s="23">
        <f t="shared" si="28"/>
        <v>1645.33</v>
      </c>
      <c r="R50" s="23">
        <f t="shared" si="28"/>
        <v>2002.7499999999995</v>
      </c>
      <c r="S50" s="23">
        <f t="shared" si="28"/>
        <v>2254.8199999999997</v>
      </c>
      <c r="T50" s="23">
        <f t="shared" si="28"/>
        <v>5098.5900000000011</v>
      </c>
      <c r="U50" s="23">
        <f t="shared" si="28"/>
        <v>6178.9000000000033</v>
      </c>
      <c r="V50" s="23">
        <f t="shared" si="28"/>
        <v>6791.5999999999985</v>
      </c>
      <c r="W50" s="65">
        <f t="shared" si="28"/>
        <v>6867.9000000000051</v>
      </c>
      <c r="X50" s="65">
        <f t="shared" si="28"/>
        <v>7531.5</v>
      </c>
    </row>
    <row r="51" spans="2:25" x14ac:dyDescent="0.25">
      <c r="C51" s="136"/>
      <c r="D51" s="136"/>
      <c r="E51" s="136"/>
      <c r="F51" s="136"/>
      <c r="G51" s="136"/>
      <c r="H51" s="136"/>
      <c r="I51" s="136"/>
      <c r="J51" s="79"/>
      <c r="K51" s="94"/>
      <c r="L51" s="96"/>
      <c r="N51" s="124" t="s">
        <v>43</v>
      </c>
      <c r="O51" s="124"/>
      <c r="P51" s="5">
        <v>81.66</v>
      </c>
      <c r="Q51" s="6">
        <v>125.74</v>
      </c>
      <c r="R51" s="6">
        <v>154.5</v>
      </c>
      <c r="S51" s="6">
        <v>134.34</v>
      </c>
      <c r="T51" s="6">
        <v>4555.4799999999996</v>
      </c>
      <c r="U51" s="6">
        <v>3653.6</v>
      </c>
      <c r="V51" s="6">
        <v>2929.1</v>
      </c>
      <c r="W51" s="6">
        <v>3004.6</v>
      </c>
      <c r="X51" s="39">
        <v>2855.9</v>
      </c>
    </row>
    <row r="52" spans="2:25" x14ac:dyDescent="0.25">
      <c r="B52" s="7" t="s">
        <v>62</v>
      </c>
      <c r="C52" s="43" t="s">
        <v>2</v>
      </c>
      <c r="D52" s="43" t="s">
        <v>3</v>
      </c>
      <c r="E52" s="43" t="s">
        <v>4</v>
      </c>
      <c r="F52" s="43" t="s">
        <v>5</v>
      </c>
      <c r="G52" s="43" t="s">
        <v>6</v>
      </c>
      <c r="H52" s="43" t="s">
        <v>91</v>
      </c>
      <c r="I52" s="36" t="s">
        <v>121</v>
      </c>
      <c r="J52" s="77" t="s">
        <v>123</v>
      </c>
      <c r="K52" s="43" t="s">
        <v>124</v>
      </c>
      <c r="L52" s="98"/>
      <c r="N52" s="124" t="s">
        <v>53</v>
      </c>
      <c r="O52" s="124"/>
      <c r="P52" s="5"/>
      <c r="Q52" s="6"/>
      <c r="R52" s="6"/>
      <c r="S52" s="6" t="s">
        <v>94</v>
      </c>
      <c r="T52" s="6">
        <v>123.75</v>
      </c>
      <c r="U52" s="6">
        <v>152.5</v>
      </c>
      <c r="V52" s="6">
        <v>7.8</v>
      </c>
      <c r="W52" s="49">
        <v>25.6</v>
      </c>
      <c r="X52" s="39">
        <v>17.899999999999999</v>
      </c>
    </row>
    <row r="53" spans="2:25" x14ac:dyDescent="0.25">
      <c r="B53" s="124" t="s">
        <v>66</v>
      </c>
      <c r="C53" s="138">
        <v>14617500</v>
      </c>
      <c r="D53" s="138">
        <v>14617500</v>
      </c>
      <c r="E53" s="138">
        <v>14617500</v>
      </c>
      <c r="F53" s="138">
        <v>14617500</v>
      </c>
      <c r="G53" s="138">
        <v>14617500</v>
      </c>
      <c r="H53" s="138">
        <v>14617500</v>
      </c>
      <c r="I53" s="139">
        <v>44957224</v>
      </c>
      <c r="J53" s="146">
        <v>44957224</v>
      </c>
      <c r="K53" s="147">
        <v>44957224</v>
      </c>
      <c r="L53" s="146"/>
      <c r="N53" s="124" t="s">
        <v>54</v>
      </c>
      <c r="O53" s="124"/>
      <c r="P53" s="127"/>
      <c r="Q53" s="126"/>
      <c r="R53" s="126"/>
      <c r="S53" s="126">
        <v>176.59</v>
      </c>
      <c r="T53" s="126">
        <v>1215.6400000000001</v>
      </c>
      <c r="U53" s="6">
        <v>1093.7</v>
      </c>
      <c r="V53" s="6">
        <v>1431.9</v>
      </c>
      <c r="W53" s="6">
        <v>1555.2</v>
      </c>
      <c r="X53" s="39">
        <v>1596.4</v>
      </c>
    </row>
    <row r="54" spans="2:25" x14ac:dyDescent="0.25">
      <c r="B54" s="124" t="s">
        <v>67</v>
      </c>
      <c r="C54" s="29">
        <f t="shared" ref="C54:K54" si="29">P60*C53/1000000</f>
        <v>7612.793999999999</v>
      </c>
      <c r="D54" s="29">
        <f t="shared" si="29"/>
        <v>10526.061750000001</v>
      </c>
      <c r="E54" s="29">
        <f t="shared" si="29"/>
        <v>17961.253124999999</v>
      </c>
      <c r="F54" s="29">
        <f t="shared" si="29"/>
        <v>36746.933250000002</v>
      </c>
      <c r="G54" s="29">
        <f t="shared" si="29"/>
        <v>62931.260999999999</v>
      </c>
      <c r="H54" s="29">
        <f t="shared" si="29"/>
        <v>66709.153874999989</v>
      </c>
      <c r="I54" s="28">
        <f t="shared" si="29"/>
        <v>65900.546800399999</v>
      </c>
      <c r="J54" s="73">
        <f t="shared" si="29"/>
        <v>55555.889558000003</v>
      </c>
      <c r="K54" s="39">
        <f t="shared" si="29"/>
        <v>45528.180744800004</v>
      </c>
      <c r="L54" s="97"/>
      <c r="N54" s="124" t="s">
        <v>52</v>
      </c>
      <c r="O54" s="124">
        <v>47.56</v>
      </c>
      <c r="P54" s="127">
        <v>26.57</v>
      </c>
      <c r="Q54" s="126">
        <v>47.45</v>
      </c>
      <c r="R54" s="126">
        <v>53.4</v>
      </c>
      <c r="S54" s="126">
        <v>50.12</v>
      </c>
      <c r="T54" s="126">
        <v>508.1</v>
      </c>
      <c r="U54" s="6">
        <v>488.2</v>
      </c>
      <c r="V54" s="6">
        <v>707.7</v>
      </c>
      <c r="W54" s="49">
        <v>781.1</v>
      </c>
      <c r="X54" s="39">
        <v>621.1</v>
      </c>
    </row>
    <row r="55" spans="2:25" x14ac:dyDescent="0.25">
      <c r="B55" s="124" t="s">
        <v>68</v>
      </c>
      <c r="C55" s="16">
        <f t="shared" ref="C55:H55" si="30">P12</f>
        <v>0</v>
      </c>
      <c r="D55" s="16">
        <f t="shared" si="30"/>
        <v>0</v>
      </c>
      <c r="E55" s="16">
        <f t="shared" si="30"/>
        <v>0</v>
      </c>
      <c r="F55" s="16">
        <f t="shared" si="30"/>
        <v>112.26</v>
      </c>
      <c r="G55" s="16">
        <f t="shared" si="30"/>
        <v>4916.7000000000007</v>
      </c>
      <c r="H55" s="16">
        <f t="shared" si="30"/>
        <v>5049.3</v>
      </c>
      <c r="I55" s="44">
        <f>V12</f>
        <v>7969.2999999999993</v>
      </c>
      <c r="J55" s="80">
        <f>W12</f>
        <v>7120.2</v>
      </c>
      <c r="K55" s="81">
        <f>X12</f>
        <v>6506.2</v>
      </c>
      <c r="L55" s="100"/>
      <c r="N55" s="3" t="s">
        <v>44</v>
      </c>
      <c r="O55" s="4">
        <f t="shared" ref="O55:W55" si="31">O17+O30</f>
        <v>2575.14</v>
      </c>
      <c r="P55" s="4">
        <f t="shared" si="31"/>
        <v>3183.0400000000004</v>
      </c>
      <c r="Q55" s="23">
        <f t="shared" si="31"/>
        <v>3923.27</v>
      </c>
      <c r="R55" s="23">
        <f t="shared" si="31"/>
        <v>4343.7999999999993</v>
      </c>
      <c r="S55" s="23">
        <f t="shared" si="31"/>
        <v>5296.17</v>
      </c>
      <c r="T55" s="23">
        <f t="shared" si="31"/>
        <v>24175.82</v>
      </c>
      <c r="U55" s="23">
        <f t="shared" si="31"/>
        <v>27275.700000000004</v>
      </c>
      <c r="V55" s="23">
        <f t="shared" si="31"/>
        <v>33545.399999999994</v>
      </c>
      <c r="W55" s="65">
        <f t="shared" si="31"/>
        <v>31736</v>
      </c>
      <c r="X55" s="65">
        <f t="shared" ref="X55" si="32">X17+X30</f>
        <v>31030.800000000003</v>
      </c>
      <c r="Y55" s="140"/>
    </row>
    <row r="56" spans="2:25" x14ac:dyDescent="0.25">
      <c r="B56" s="124" t="s">
        <v>69</v>
      </c>
      <c r="C56" s="133">
        <f t="shared" ref="C56:I57" si="33">P35</f>
        <v>311.02999999999997</v>
      </c>
      <c r="D56" s="133">
        <f t="shared" si="33"/>
        <v>665.66</v>
      </c>
      <c r="E56" s="133">
        <f t="shared" si="33"/>
        <v>754.16</v>
      </c>
      <c r="F56" s="133">
        <f t="shared" si="33"/>
        <v>477.75</v>
      </c>
      <c r="G56" s="133">
        <f t="shared" si="33"/>
        <v>2434.69</v>
      </c>
      <c r="H56" s="133">
        <f t="shared" si="33"/>
        <v>2905.8</v>
      </c>
      <c r="I56" s="141">
        <f t="shared" si="33"/>
        <v>3114.8</v>
      </c>
      <c r="J56" s="82">
        <f>W35</f>
        <v>3196.3</v>
      </c>
      <c r="K56" s="12">
        <f>X35</f>
        <v>4448.1000000000004</v>
      </c>
      <c r="L56" s="101"/>
      <c r="N56" s="3" t="s">
        <v>45</v>
      </c>
      <c r="O56" s="4">
        <f t="shared" ref="O56:U56" si="34">SUM(O41,O12,O51:O54,O9,O8)</f>
        <v>2575.17</v>
      </c>
      <c r="P56" s="4">
        <f t="shared" si="34"/>
        <v>3184.21</v>
      </c>
      <c r="Q56" s="23">
        <f t="shared" si="34"/>
        <v>3923.27</v>
      </c>
      <c r="R56" s="23">
        <f t="shared" si="34"/>
        <v>4343.8</v>
      </c>
      <c r="S56" s="23">
        <f t="shared" si="34"/>
        <v>5408.43</v>
      </c>
      <c r="T56" s="23">
        <f t="shared" si="34"/>
        <v>24664.92</v>
      </c>
      <c r="U56" s="23">
        <f t="shared" si="34"/>
        <v>27828.83</v>
      </c>
      <c r="V56" s="23">
        <f>SUM(V8,V9,V10,V41,V51:V54)</f>
        <v>33545.399999999994</v>
      </c>
      <c r="W56" s="65">
        <f>SUM(W8,W9,W10,W41,W51:W54)</f>
        <v>31735.999999999993</v>
      </c>
      <c r="X56" s="65">
        <f>SUM(X8,X9,X10,X41,X51:X54)</f>
        <v>31030.800000000003</v>
      </c>
    </row>
    <row r="57" spans="2:25" x14ac:dyDescent="0.25">
      <c r="B57" s="124" t="s">
        <v>70</v>
      </c>
      <c r="C57" s="133">
        <f t="shared" si="33"/>
        <v>5.46</v>
      </c>
      <c r="D57" s="133">
        <f t="shared" si="33"/>
        <v>2.23</v>
      </c>
      <c r="E57" s="133">
        <f t="shared" si="33"/>
        <v>3.83</v>
      </c>
      <c r="F57" s="133">
        <f t="shared" si="33"/>
        <v>286.14</v>
      </c>
      <c r="G57" s="133">
        <f t="shared" si="33"/>
        <v>488.06</v>
      </c>
      <c r="H57" s="133">
        <f t="shared" si="33"/>
        <v>371.6</v>
      </c>
      <c r="I57" s="141">
        <f t="shared" si="33"/>
        <v>601.29999999999995</v>
      </c>
      <c r="J57" s="82">
        <f>W36</f>
        <v>239.4</v>
      </c>
      <c r="K57" s="12">
        <f>X36</f>
        <v>222.9</v>
      </c>
      <c r="L57" s="101"/>
    </row>
    <row r="58" spans="2:25" x14ac:dyDescent="0.25">
      <c r="B58" s="3" t="s">
        <v>71</v>
      </c>
      <c r="C58" s="45">
        <f t="shared" ref="C58:H58" si="35">C54+C55-C56-C57</f>
        <v>7296.3039999999992</v>
      </c>
      <c r="D58" s="45">
        <f t="shared" si="35"/>
        <v>9858.1717500000013</v>
      </c>
      <c r="E58" s="45">
        <f t="shared" si="35"/>
        <v>17203.263124999998</v>
      </c>
      <c r="F58" s="45">
        <f t="shared" si="35"/>
        <v>36095.303250000004</v>
      </c>
      <c r="G58" s="45">
        <f t="shared" si="35"/>
        <v>64925.210999999996</v>
      </c>
      <c r="H58" s="45">
        <f t="shared" si="35"/>
        <v>68481.053874999983</v>
      </c>
      <c r="I58" s="46">
        <f>I54+I55-I56-I57</f>
        <v>70153.746800399997</v>
      </c>
      <c r="J58" s="83">
        <f>J54+J55-J56-J57</f>
        <v>59240.389557999995</v>
      </c>
      <c r="K58" s="84">
        <f>K54+K55-K56-K57</f>
        <v>47363.380744800001</v>
      </c>
      <c r="L58" s="119"/>
      <c r="N58" s="150" t="s">
        <v>79</v>
      </c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</row>
    <row r="59" spans="2:25" x14ac:dyDescent="0.25">
      <c r="N59" s="107"/>
      <c r="O59" s="107"/>
      <c r="P59" s="106" t="s">
        <v>2</v>
      </c>
      <c r="Q59" s="106" t="s">
        <v>3</v>
      </c>
      <c r="R59" s="106" t="s">
        <v>4</v>
      </c>
      <c r="S59" s="106" t="s">
        <v>5</v>
      </c>
      <c r="T59" s="106" t="s">
        <v>6</v>
      </c>
      <c r="U59" s="106" t="s">
        <v>91</v>
      </c>
      <c r="V59" s="106" t="s">
        <v>121</v>
      </c>
      <c r="W59" s="106" t="s">
        <v>123</v>
      </c>
      <c r="X59" s="106" t="s">
        <v>124</v>
      </c>
      <c r="Y59" s="108" t="s">
        <v>125</v>
      </c>
    </row>
    <row r="60" spans="2:25" x14ac:dyDescent="0.25">
      <c r="B60" s="149"/>
      <c r="C60" s="149"/>
      <c r="D60" s="149"/>
      <c r="E60" s="149"/>
      <c r="F60" s="149"/>
      <c r="G60" s="149"/>
      <c r="H60" s="149"/>
      <c r="I60" s="149"/>
      <c r="J60" s="149"/>
      <c r="K60" s="51"/>
      <c r="L60" s="51"/>
      <c r="N60" s="8" t="s">
        <v>120</v>
      </c>
      <c r="O60" s="8"/>
      <c r="P60" s="10">
        <v>520.79999999999995</v>
      </c>
      <c r="Q60" s="12">
        <v>720.1</v>
      </c>
      <c r="R60" s="12">
        <v>1228.75</v>
      </c>
      <c r="S60" s="12">
        <v>2513.9</v>
      </c>
      <c r="T60" s="12">
        <v>4305.2</v>
      </c>
      <c r="U60" s="125">
        <v>4563.6499999999996</v>
      </c>
      <c r="V60" s="12">
        <v>1465.85</v>
      </c>
      <c r="W60" s="62">
        <v>1235.75</v>
      </c>
      <c r="X60" s="66">
        <v>1012.7</v>
      </c>
      <c r="Y60" s="148">
        <v>1191.8499999999999</v>
      </c>
    </row>
    <row r="61" spans="2:25" x14ac:dyDescent="0.25">
      <c r="B61" s="52"/>
      <c r="C61" s="52"/>
      <c r="D61" s="52"/>
      <c r="E61" s="52"/>
      <c r="F61" s="52"/>
      <c r="G61" s="52"/>
      <c r="H61" s="52"/>
      <c r="I61" s="52"/>
      <c r="J61" s="53"/>
      <c r="K61" s="53"/>
      <c r="L61" s="53"/>
      <c r="N61" s="8" t="s">
        <v>80</v>
      </c>
      <c r="O61" s="8"/>
      <c r="P61" s="10">
        <f t="shared" ref="P61:V61" si="36">C35</f>
        <v>7.0966666666666667</v>
      </c>
      <c r="Q61" s="12">
        <f t="shared" si="36"/>
        <v>9.7333333333333325</v>
      </c>
      <c r="R61" s="12">
        <f t="shared" si="36"/>
        <v>11.533333333333333</v>
      </c>
      <c r="S61" s="12">
        <f t="shared" si="36"/>
        <v>16.22</v>
      </c>
      <c r="T61" s="12">
        <f t="shared" si="36"/>
        <v>16.746666666666666</v>
      </c>
      <c r="U61" s="12">
        <f t="shared" si="36"/>
        <v>19.393333333333334</v>
      </c>
      <c r="V61" s="12">
        <f t="shared" si="36"/>
        <v>37.520000000000003</v>
      </c>
      <c r="W61" s="12">
        <f t="shared" ref="W61" si="37">J35</f>
        <v>39.020000000000003</v>
      </c>
      <c r="X61" s="12">
        <f>K35</f>
        <v>11.78</v>
      </c>
      <c r="Y61" s="142">
        <f>X61+L35-5.16</f>
        <v>9.1</v>
      </c>
    </row>
    <row r="62" spans="2:25" x14ac:dyDescent="0.25">
      <c r="C62" s="54"/>
      <c r="D62" s="54"/>
      <c r="E62" s="54"/>
      <c r="F62" s="54"/>
      <c r="G62" s="54"/>
      <c r="H62" s="54"/>
      <c r="I62" s="54"/>
      <c r="J62" s="55"/>
      <c r="K62" s="55"/>
      <c r="L62" s="55"/>
      <c r="N62" s="8" t="s">
        <v>81</v>
      </c>
      <c r="O62" s="8"/>
      <c r="P62" s="5">
        <f t="shared" ref="P62:X62" si="38">P8*1000000/C53</f>
        <v>132.59312467932273</v>
      </c>
      <c r="Q62" s="6">
        <f t="shared" si="38"/>
        <v>155.80639644262016</v>
      </c>
      <c r="R62" s="6">
        <f t="shared" si="38"/>
        <v>183.97674020865401</v>
      </c>
      <c r="S62" s="6">
        <f t="shared" si="38"/>
        <v>225.10757653497521</v>
      </c>
      <c r="T62" s="6">
        <f t="shared" si="38"/>
        <v>277.91551222849324</v>
      </c>
      <c r="U62" s="6">
        <f t="shared" si="38"/>
        <v>360.60407046348547</v>
      </c>
      <c r="V62" s="6">
        <f t="shared" si="38"/>
        <v>178.84333783598379</v>
      </c>
      <c r="W62" s="6">
        <f t="shared" si="38"/>
        <v>214.50612697972633</v>
      </c>
      <c r="X62" s="6">
        <f t="shared" si="38"/>
        <v>227.50292589239942</v>
      </c>
      <c r="Y62" s="128" t="s">
        <v>126</v>
      </c>
    </row>
    <row r="63" spans="2:25" x14ac:dyDescent="0.25">
      <c r="C63" s="54"/>
      <c r="D63" s="54"/>
      <c r="E63" s="54"/>
      <c r="F63" s="54"/>
      <c r="G63" s="54"/>
      <c r="H63" s="54"/>
      <c r="I63" s="52"/>
      <c r="J63" s="55"/>
      <c r="K63" s="55"/>
      <c r="L63" s="55"/>
      <c r="N63" s="8" t="s">
        <v>89</v>
      </c>
      <c r="O63" s="124"/>
      <c r="P63" s="142"/>
      <c r="Q63" s="133">
        <f>1.9+0.7+0.7+0.7</f>
        <v>4</v>
      </c>
      <c r="R63" s="133">
        <v>4.9000000000000004</v>
      </c>
      <c r="S63" s="133">
        <v>4.5</v>
      </c>
      <c r="T63" s="133">
        <v>5</v>
      </c>
      <c r="U63" s="133">
        <v>5</v>
      </c>
      <c r="V63" s="133">
        <v>2</v>
      </c>
      <c r="W63" s="12">
        <v>2</v>
      </c>
      <c r="X63" s="12">
        <v>1</v>
      </c>
      <c r="Y63" s="128" t="s">
        <v>126</v>
      </c>
    </row>
    <row r="64" spans="2:25" x14ac:dyDescent="0.25">
      <c r="B64" s="52"/>
      <c r="C64" s="56"/>
      <c r="D64" s="56"/>
      <c r="E64" s="56"/>
      <c r="F64" s="56"/>
      <c r="G64" s="56"/>
      <c r="H64" s="56"/>
      <c r="I64" s="56"/>
      <c r="J64" s="57"/>
      <c r="K64" s="57"/>
      <c r="L64" s="57"/>
      <c r="N64" s="8" t="s">
        <v>87</v>
      </c>
      <c r="O64" s="8"/>
      <c r="P64" s="142">
        <f t="shared" ref="P64:U64" si="39">P60/P61</f>
        <v>73.386566463128219</v>
      </c>
      <c r="Q64" s="133">
        <f t="shared" si="39"/>
        <v>73.982876712328775</v>
      </c>
      <c r="R64" s="133">
        <f t="shared" si="39"/>
        <v>106.53901734104046</v>
      </c>
      <c r="S64" s="133">
        <f t="shared" si="39"/>
        <v>154.98766954377314</v>
      </c>
      <c r="T64" s="133">
        <f t="shared" si="39"/>
        <v>257.078025477707</v>
      </c>
      <c r="U64" s="133">
        <f t="shared" si="39"/>
        <v>235.32055689240286</v>
      </c>
      <c r="V64" s="133">
        <f>V60/V61</f>
        <v>39.068496801705749</v>
      </c>
      <c r="W64" s="12">
        <f>W60/W61</f>
        <v>31.669656586365964</v>
      </c>
      <c r="X64" s="12">
        <f>X60/X61</f>
        <v>85.967741935483886</v>
      </c>
      <c r="Y64" s="12">
        <f>Y60/Y61</f>
        <v>130.97252747252747</v>
      </c>
    </row>
    <row r="65" spans="2:25" x14ac:dyDescent="0.25">
      <c r="C65" s="54"/>
      <c r="D65" s="54"/>
      <c r="E65" s="54"/>
      <c r="F65" s="54"/>
      <c r="G65" s="54"/>
      <c r="H65" s="54"/>
      <c r="I65" s="54"/>
      <c r="J65" s="55"/>
      <c r="K65" s="55"/>
      <c r="L65" s="55"/>
      <c r="N65" s="8" t="s">
        <v>72</v>
      </c>
      <c r="O65" s="8"/>
      <c r="P65" s="127">
        <f t="shared" ref="P65:V65" si="40">P60/P62</f>
        <v>3.9278054669844904</v>
      </c>
      <c r="Q65" s="126">
        <f>Q60/Q62</f>
        <v>4.6217614709110864</v>
      </c>
      <c r="R65" s="126">
        <f t="shared" si="40"/>
        <v>6.6788334145198718</v>
      </c>
      <c r="S65" s="126">
        <f t="shared" si="40"/>
        <v>11.167549483210809</v>
      </c>
      <c r="T65" s="126">
        <f t="shared" si="40"/>
        <v>15.491038860977296</v>
      </c>
      <c r="U65" s="126">
        <f t="shared" si="40"/>
        <v>12.655569844606376</v>
      </c>
      <c r="V65" s="126">
        <f t="shared" si="40"/>
        <v>8.1962795916072793</v>
      </c>
      <c r="W65" s="6">
        <f>W60/W62</f>
        <v>5.7609077064581689</v>
      </c>
      <c r="X65" s="6">
        <f>X60/X62</f>
        <v>4.4513713220504698</v>
      </c>
      <c r="Y65" s="128" t="s">
        <v>126</v>
      </c>
    </row>
    <row r="66" spans="2:25" x14ac:dyDescent="0.25">
      <c r="B66" s="52"/>
      <c r="C66" s="54"/>
      <c r="D66" s="54"/>
      <c r="E66" s="54"/>
      <c r="F66" s="54"/>
      <c r="G66" s="54"/>
      <c r="H66" s="54"/>
      <c r="I66" s="54"/>
      <c r="J66" s="55"/>
      <c r="K66" s="55"/>
      <c r="L66" s="55"/>
      <c r="N66" s="8" t="s">
        <v>73</v>
      </c>
      <c r="O66" s="8"/>
      <c r="P66" s="142">
        <f t="shared" ref="P66:X66" si="41">C58/C16</f>
        <v>15.358376660281621</v>
      </c>
      <c r="Q66" s="133">
        <f t="shared" si="41"/>
        <v>15.880554392125923</v>
      </c>
      <c r="R66" s="133">
        <f t="shared" si="41"/>
        <v>22.351769774965572</v>
      </c>
      <c r="S66" s="133">
        <f t="shared" si="41"/>
        <v>32.478497741505919</v>
      </c>
      <c r="T66" s="133">
        <f t="shared" si="41"/>
        <v>46.789572643413074</v>
      </c>
      <c r="U66" s="133">
        <f t="shared" si="41"/>
        <v>24.124089856272224</v>
      </c>
      <c r="V66" s="133">
        <f t="shared" si="41"/>
        <v>16.271308547002203</v>
      </c>
      <c r="W66" s="12">
        <f t="shared" si="41"/>
        <v>12.449644745712831</v>
      </c>
      <c r="X66" s="12">
        <f t="shared" si="41"/>
        <v>13.115690281568451</v>
      </c>
      <c r="Y66" s="128" t="s">
        <v>126</v>
      </c>
    </row>
    <row r="67" spans="2:25" x14ac:dyDescent="0.25">
      <c r="C67" s="54"/>
      <c r="D67" s="54"/>
      <c r="E67" s="54"/>
      <c r="F67" s="54"/>
      <c r="G67" s="54"/>
      <c r="H67" s="54"/>
      <c r="I67" s="54"/>
      <c r="J67" s="55"/>
      <c r="K67" s="55"/>
      <c r="L67" s="55"/>
      <c r="N67" s="8" t="s">
        <v>82</v>
      </c>
      <c r="O67" s="8"/>
      <c r="P67" s="11">
        <f t="shared" ref="P67:X67" si="42">C26/P8</f>
        <v>0.16057332136334118</v>
      </c>
      <c r="Q67" s="47">
        <f t="shared" si="42"/>
        <v>0.18738090010976929</v>
      </c>
      <c r="R67" s="47">
        <f t="shared" si="42"/>
        <v>0.18808379938124695</v>
      </c>
      <c r="S67" s="47">
        <f t="shared" si="42"/>
        <v>0.21617013775980004</v>
      </c>
      <c r="T67" s="47">
        <f t="shared" si="42"/>
        <v>0.15643346469969954</v>
      </c>
      <c r="U67" s="47">
        <f t="shared" si="42"/>
        <v>0.14296744720771462</v>
      </c>
      <c r="V67" s="15">
        <f t="shared" si="42"/>
        <v>0.26553735557130947</v>
      </c>
      <c r="W67" s="47">
        <f t="shared" si="42"/>
        <v>0.17696710771910956</v>
      </c>
      <c r="X67" s="47">
        <f t="shared" si="42"/>
        <v>4.8074384771067437E-2</v>
      </c>
      <c r="Y67" s="128" t="s">
        <v>126</v>
      </c>
    </row>
    <row r="68" spans="2:25" x14ac:dyDescent="0.25">
      <c r="C68" s="54"/>
      <c r="D68" s="54"/>
      <c r="E68" s="54"/>
      <c r="F68" s="54"/>
      <c r="G68" s="54"/>
      <c r="H68" s="54"/>
      <c r="I68" s="54"/>
      <c r="J68" s="55"/>
      <c r="K68" s="55"/>
      <c r="L68" s="55"/>
      <c r="N68" s="8" t="s">
        <v>83</v>
      </c>
      <c r="O68" s="8"/>
      <c r="P68" s="11">
        <f t="shared" ref="P68:U68" si="43">(C16-C20)/P13</f>
        <v>0.19191168925093241</v>
      </c>
      <c r="Q68" s="47">
        <f t="shared" si="43"/>
        <v>0.21336031893058674</v>
      </c>
      <c r="R68" s="47">
        <f t="shared" si="43"/>
        <v>0.22778011721743205</v>
      </c>
      <c r="S68" s="47">
        <f t="shared" si="43"/>
        <v>0.24652751152931887</v>
      </c>
      <c r="T68" s="47">
        <f t="shared" si="43"/>
        <v>5.5006199724595174E-2</v>
      </c>
      <c r="U68" s="47">
        <f t="shared" si="43"/>
        <v>9.1289723100917278E-2</v>
      </c>
      <c r="V68" s="15">
        <f>(I24+I21)/V13</f>
        <v>0.1740518575851393</v>
      </c>
      <c r="W68" s="47">
        <f>(J24+J21)/W13</f>
        <v>0.17203219816707432</v>
      </c>
      <c r="X68" s="47">
        <f>(K24+K21)/X13</f>
        <v>0.10111134771190138</v>
      </c>
      <c r="Y68" s="128" t="s">
        <v>126</v>
      </c>
    </row>
    <row r="69" spans="2:25" x14ac:dyDescent="0.25">
      <c r="B69" s="52"/>
      <c r="C69" s="56"/>
      <c r="D69" s="56"/>
      <c r="E69" s="56"/>
      <c r="F69" s="56"/>
      <c r="G69" s="56"/>
      <c r="H69" s="56"/>
      <c r="I69" s="56"/>
      <c r="J69" s="57"/>
      <c r="K69" s="57"/>
      <c r="L69" s="57"/>
      <c r="N69" s="8" t="s">
        <v>84</v>
      </c>
      <c r="O69" s="8"/>
      <c r="P69" s="10">
        <f t="shared" ref="P69:V69" si="44">P12/P8</f>
        <v>0</v>
      </c>
      <c r="Q69" s="12">
        <f t="shared" si="44"/>
        <v>0</v>
      </c>
      <c r="R69" s="12">
        <f t="shared" si="44"/>
        <v>0</v>
      </c>
      <c r="S69" s="12">
        <f t="shared" si="44"/>
        <v>3.4116292003367257E-2</v>
      </c>
      <c r="T69" s="12">
        <f t="shared" si="44"/>
        <v>1.2102854695342444</v>
      </c>
      <c r="U69" s="12">
        <f t="shared" si="44"/>
        <v>0.95791604456729407</v>
      </c>
      <c r="V69" s="133">
        <f t="shared" si="44"/>
        <v>0.99116948372573166</v>
      </c>
      <c r="W69" s="12">
        <f>W12/W8</f>
        <v>0.73833423202953252</v>
      </c>
      <c r="X69" s="12">
        <f>X12/X8</f>
        <v>0.63612276224835984</v>
      </c>
      <c r="Y69" s="128" t="s">
        <v>126</v>
      </c>
    </row>
    <row r="70" spans="2:25" x14ac:dyDescent="0.25">
      <c r="C70" s="54"/>
      <c r="D70" s="54"/>
      <c r="E70" s="54"/>
      <c r="F70" s="54"/>
      <c r="G70" s="54"/>
      <c r="H70" s="54"/>
      <c r="I70" s="54"/>
      <c r="J70" s="55"/>
      <c r="K70" s="55"/>
      <c r="L70" s="55"/>
      <c r="N70" s="8" t="s">
        <v>74</v>
      </c>
      <c r="O70" s="8"/>
      <c r="P70" s="5">
        <f>(P12-P35)/P8</f>
        <v>-0.16047529125261842</v>
      </c>
      <c r="Q70" s="6">
        <f t="shared" ref="Q70:V70" si="45">(Q12-Q35-Q36)/Q8</f>
        <v>-0.29325576289791438</v>
      </c>
      <c r="R70" s="6">
        <f t="shared" si="45"/>
        <v>-0.2818561101856259</v>
      </c>
      <c r="S70" s="6">
        <f t="shared" si="45"/>
        <v>-0.19803313164220743</v>
      </c>
      <c r="T70" s="6">
        <f t="shared" si="45"/>
        <v>0.49082691886383295</v>
      </c>
      <c r="U70" s="6">
        <f t="shared" si="45"/>
        <v>0.33615183082185418</v>
      </c>
      <c r="V70" s="133">
        <f t="shared" si="45"/>
        <v>0.52898523686927101</v>
      </c>
      <c r="W70" s="12">
        <f>(W12-W35-W36)/W8</f>
        <v>0.38206686299722087</v>
      </c>
      <c r="X70" s="12">
        <f>(X12-X35-X36)/X8</f>
        <v>0.17943077269038604</v>
      </c>
      <c r="Y70" s="128" t="s">
        <v>126</v>
      </c>
    </row>
    <row r="71" spans="2:25" x14ac:dyDescent="0.25">
      <c r="B71" s="52"/>
      <c r="C71" s="54"/>
      <c r="D71" s="54"/>
      <c r="E71" s="54"/>
      <c r="F71" s="54"/>
      <c r="G71" s="54"/>
      <c r="H71" s="54"/>
      <c r="I71" s="54"/>
      <c r="J71" s="55"/>
      <c r="K71" s="55"/>
      <c r="L71" s="55"/>
      <c r="N71" s="8" t="s">
        <v>90</v>
      </c>
      <c r="O71" s="124"/>
      <c r="P71" s="14">
        <f t="shared" ref="P71:V71" si="46">P63/P60</f>
        <v>0</v>
      </c>
      <c r="Q71" s="15">
        <f t="shared" si="46"/>
        <v>5.5547840577697544E-3</v>
      </c>
      <c r="R71" s="15">
        <f t="shared" si="46"/>
        <v>3.9877924720244156E-3</v>
      </c>
      <c r="S71" s="15">
        <f t="shared" si="46"/>
        <v>1.790047336807351E-3</v>
      </c>
      <c r="T71" s="15">
        <f t="shared" si="46"/>
        <v>1.16138623060485E-3</v>
      </c>
      <c r="U71" s="15">
        <f t="shared" si="46"/>
        <v>1.0956142561327009E-3</v>
      </c>
      <c r="V71" s="15">
        <f t="shared" si="46"/>
        <v>1.3643960841832384E-3</v>
      </c>
      <c r="W71" s="47">
        <f t="shared" ref="W71:X71" si="47">W63/W60</f>
        <v>1.6184503338053813E-3</v>
      </c>
      <c r="X71" s="47">
        <f t="shared" si="47"/>
        <v>9.8745926730522352E-4</v>
      </c>
      <c r="Y71" s="128" t="s">
        <v>126</v>
      </c>
    </row>
    <row r="72" spans="2:25" x14ac:dyDescent="0.25">
      <c r="C72" s="58"/>
      <c r="D72" s="58"/>
      <c r="E72" s="58"/>
      <c r="F72" s="58"/>
      <c r="G72" s="58"/>
      <c r="H72" s="58"/>
      <c r="I72" s="58"/>
      <c r="J72" s="59"/>
      <c r="K72" s="59"/>
      <c r="L72" s="59"/>
      <c r="N72" s="8" t="s">
        <v>75</v>
      </c>
      <c r="O72" s="8"/>
      <c r="P72" s="143">
        <f t="shared" ref="P72:U72" si="48">(AVERAGE(O34:P34)/C6)*365</f>
        <v>57.234356115402818</v>
      </c>
      <c r="Q72" s="144">
        <f t="shared" si="48"/>
        <v>53.481885186464922</v>
      </c>
      <c r="R72" s="144">
        <f t="shared" si="48"/>
        <v>42.746949624286017</v>
      </c>
      <c r="S72" s="144">
        <f t="shared" si="48"/>
        <v>43.700183733961339</v>
      </c>
      <c r="T72" s="144">
        <f t="shared" si="48"/>
        <v>69.991207347770484</v>
      </c>
      <c r="U72" s="144">
        <f t="shared" si="48"/>
        <v>47.830419945130423</v>
      </c>
      <c r="V72" s="144">
        <f>((AVERAGE(U34:V34)/I6)*365)</f>
        <v>45.47409167440324</v>
      </c>
      <c r="W72" s="89">
        <f>((AVERAGE(V34:W34)/J6)*365)</f>
        <v>45.981900373714623</v>
      </c>
      <c r="X72" s="89">
        <f>((AVERAGE(W34:X34)/K6)*365)</f>
        <v>46.763096767739292</v>
      </c>
      <c r="Y72" s="128" t="s">
        <v>126</v>
      </c>
    </row>
    <row r="73" spans="2:25" x14ac:dyDescent="0.25">
      <c r="C73" s="58"/>
      <c r="D73" s="58"/>
      <c r="E73" s="58"/>
      <c r="F73" s="58"/>
      <c r="G73" s="58"/>
      <c r="H73" s="58"/>
      <c r="I73" s="58"/>
      <c r="J73" s="59"/>
      <c r="K73" s="59"/>
      <c r="L73" s="59"/>
      <c r="N73" s="124" t="s">
        <v>76</v>
      </c>
      <c r="O73" s="124"/>
      <c r="P73" s="143">
        <f t="shared" ref="P73:X73" si="49">(AVERAGE(O44:P44)/C10)*365</f>
        <v>102.46193620158508</v>
      </c>
      <c r="Q73" s="144">
        <f t="shared" si="49"/>
        <v>117.67160832365295</v>
      </c>
      <c r="R73" s="144">
        <f t="shared" si="49"/>
        <v>95.641272568408851</v>
      </c>
      <c r="S73" s="144">
        <f t="shared" si="49"/>
        <v>89.193279395489071</v>
      </c>
      <c r="T73" s="144">
        <f t="shared" si="49"/>
        <v>173.08393744821871</v>
      </c>
      <c r="U73" s="144">
        <f t="shared" si="49"/>
        <v>121.14192507635013</v>
      </c>
      <c r="V73" s="144">
        <f t="shared" si="49"/>
        <v>128.57053919856659</v>
      </c>
      <c r="W73" s="89">
        <f t="shared" si="49"/>
        <v>137.19673745127389</v>
      </c>
      <c r="X73" s="89">
        <f t="shared" si="49"/>
        <v>123.34240182463937</v>
      </c>
      <c r="Y73" s="128" t="s">
        <v>126</v>
      </c>
    </row>
    <row r="74" spans="2:25" x14ac:dyDescent="0.25">
      <c r="B74" s="52"/>
      <c r="C74" s="60"/>
      <c r="D74" s="60"/>
      <c r="E74" s="60"/>
      <c r="F74" s="60"/>
      <c r="G74" s="60"/>
      <c r="H74" s="60"/>
      <c r="I74" s="60"/>
      <c r="J74" s="61"/>
      <c r="K74" s="61"/>
      <c r="L74" s="61"/>
      <c r="N74" s="124" t="s">
        <v>77</v>
      </c>
      <c r="O74" s="124"/>
      <c r="P74" s="143">
        <f t="shared" ref="P74:U74" si="50">(AVERAGE(O31:P31)/C9)*365</f>
        <v>84.514415689690651</v>
      </c>
      <c r="Q74" s="144">
        <f t="shared" si="50"/>
        <v>93.052323831635064</v>
      </c>
      <c r="R74" s="144">
        <f t="shared" si="50"/>
        <v>90.50294002259929</v>
      </c>
      <c r="S74" s="144">
        <f t="shared" si="50"/>
        <v>91.748519594279216</v>
      </c>
      <c r="T74" s="144">
        <f t="shared" si="50"/>
        <v>148.61911498678043</v>
      </c>
      <c r="U74" s="144">
        <f t="shared" si="50"/>
        <v>100.76196437275668</v>
      </c>
      <c r="V74" s="144">
        <f>((AVERAGE(U31:V31)/I9)*365)</f>
        <v>95.720133629478582</v>
      </c>
      <c r="W74" s="89">
        <f>((AVERAGE(V31:W31)/J9)*365)</f>
        <v>85.78109430964372</v>
      </c>
      <c r="X74" s="89">
        <f>((AVERAGE(W31:X31)/K9)*365)</f>
        <v>74.970758430629033</v>
      </c>
      <c r="Y74" s="128" t="s">
        <v>126</v>
      </c>
    </row>
    <row r="75" spans="2:25" x14ac:dyDescent="0.25">
      <c r="N75" s="124" t="s">
        <v>78</v>
      </c>
      <c r="O75" s="124"/>
      <c r="P75" s="143">
        <f t="shared" ref="P75:V75" si="51">P72+P74-P73</f>
        <v>39.286835603508393</v>
      </c>
      <c r="Q75" s="144">
        <f t="shared" si="51"/>
        <v>28.862600694447053</v>
      </c>
      <c r="R75" s="144">
        <f t="shared" si="51"/>
        <v>37.60861707847647</v>
      </c>
      <c r="S75" s="144">
        <f t="shared" si="51"/>
        <v>46.255423932751484</v>
      </c>
      <c r="T75" s="144">
        <f t="shared" si="51"/>
        <v>45.52638488633221</v>
      </c>
      <c r="U75" s="144">
        <f t="shared" si="51"/>
        <v>27.450459241536976</v>
      </c>
      <c r="V75" s="144">
        <f t="shared" si="51"/>
        <v>12.623686105315215</v>
      </c>
      <c r="W75" s="89">
        <f t="shared" ref="W75:X75" si="52">W72+W74-W73</f>
        <v>-5.433742767915561</v>
      </c>
      <c r="X75" s="89">
        <f t="shared" si="52"/>
        <v>-1.6085466262710355</v>
      </c>
      <c r="Y75" s="128" t="s">
        <v>126</v>
      </c>
    </row>
    <row r="76" spans="2:25" x14ac:dyDescent="0.25">
      <c r="N76" s="8" t="s">
        <v>85</v>
      </c>
      <c r="O76" s="8"/>
      <c r="P76" s="13">
        <f t="shared" ref="P76:X76" si="53">C6/AVERAGE((P18+P20)+(O18+O20))</f>
        <v>4.1016965699780883</v>
      </c>
      <c r="Q76" s="48">
        <f t="shared" si="53"/>
        <v>3.7609429766360698</v>
      </c>
      <c r="R76" s="48">
        <f t="shared" si="53"/>
        <v>4.0334702851915454</v>
      </c>
      <c r="S76" s="48">
        <f t="shared" si="53"/>
        <v>3.851008241847738</v>
      </c>
      <c r="T76" s="48">
        <f t="shared" si="53"/>
        <v>2.1111010360235927</v>
      </c>
      <c r="U76" s="48">
        <f t="shared" si="53"/>
        <v>3.2579972941606448</v>
      </c>
      <c r="V76" s="48">
        <f t="shared" si="53"/>
        <v>3.8756281407035171</v>
      </c>
      <c r="W76" s="48">
        <f t="shared" si="53"/>
        <v>3.9951313943918301</v>
      </c>
      <c r="X76" s="48">
        <f t="shared" si="53"/>
        <v>3.9235694572217112</v>
      </c>
      <c r="Y76" s="128" t="s">
        <v>126</v>
      </c>
    </row>
    <row r="77" spans="2:25" x14ac:dyDescent="0.25">
      <c r="N77" s="8" t="s">
        <v>86</v>
      </c>
      <c r="O77" s="8"/>
      <c r="P77" s="12" t="s">
        <v>118</v>
      </c>
      <c r="Q77" s="12" t="s">
        <v>118</v>
      </c>
      <c r="R77" s="12" t="s">
        <v>118</v>
      </c>
      <c r="S77" s="12" t="s">
        <v>118</v>
      </c>
      <c r="T77" s="12">
        <f>(G16-G20)/G21</f>
        <v>8.6719056974459772</v>
      </c>
      <c r="U77" s="12">
        <f>(H16-H20)/H21</f>
        <v>6.1483739837398401</v>
      </c>
      <c r="V77" s="133">
        <f>(I24+I21)/I21</f>
        <v>5.1345951629863293</v>
      </c>
      <c r="W77" s="12">
        <f>(J24+J21)/J21</f>
        <v>3.6465126094755771</v>
      </c>
      <c r="X77" s="12">
        <f>(K24+K21)/K21</f>
        <v>1.933210546723537</v>
      </c>
      <c r="Y77" s="12">
        <f>(L24+L21)/L21</f>
        <v>1.7366581216499639</v>
      </c>
    </row>
    <row r="79" spans="2:25" x14ac:dyDescent="0.25">
      <c r="Q79" s="145"/>
    </row>
  </sheetData>
  <mergeCells count="5">
    <mergeCell ref="B2:V2"/>
    <mergeCell ref="B60:J60"/>
    <mergeCell ref="N4:X4"/>
    <mergeCell ref="B4:L4"/>
    <mergeCell ref="N58:Y58"/>
  </mergeCells>
  <pageMargins left="0.7" right="0.7" top="0.75" bottom="0.75" header="0.3" footer="0.3"/>
  <pageSetup orientation="portrait" r:id="rId1"/>
  <ignoredErrors>
    <ignoredError sqref="S72:X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DELL</cp:lastModifiedBy>
  <dcterms:created xsi:type="dcterms:W3CDTF">2022-03-25T06:39:15Z</dcterms:created>
  <dcterms:modified xsi:type="dcterms:W3CDTF">2025-08-21T06:33:09Z</dcterms:modified>
</cp:coreProperties>
</file>