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DE7D8601-3420-42DE-B04C-2B2A8DB142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sheet" sheetId="7" r:id="rId1"/>
    <sheet name="Sheet2" sheetId="9" state="hidden" r:id="rId2"/>
    <sheet name="Sheet4" sheetId="13" r:id="rId3"/>
    <sheet name="Peer Sheet" sheetId="12" r:id="rId4"/>
    <sheet name="Sheet1" sheetId="8" state="hidden" r:id="rId5"/>
    <sheet name="Sheet3" sheetId="11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2" i="7" l="1"/>
  <c r="O28" i="7"/>
  <c r="N28" i="7"/>
  <c r="O16" i="7"/>
  <c r="N16" i="7"/>
  <c r="O6" i="7"/>
  <c r="M8" i="7"/>
  <c r="N8" i="7"/>
  <c r="N7" i="7"/>
  <c r="N65" i="7"/>
  <c r="N64" i="7"/>
  <c r="N63" i="7"/>
  <c r="AD47" i="7"/>
  <c r="AD39" i="7"/>
  <c r="AD12" i="7" s="1"/>
  <c r="AD28" i="7"/>
  <c r="AD11" i="7"/>
  <c r="AD10" i="7"/>
  <c r="AD6" i="7"/>
  <c r="N53" i="7"/>
  <c r="N51" i="7"/>
  <c r="N47" i="7"/>
  <c r="N48" i="7"/>
  <c r="N9" i="7"/>
  <c r="O9" i="7"/>
  <c r="O33" i="7"/>
  <c r="O19" i="7"/>
  <c r="M17" i="7"/>
  <c r="O38" i="7"/>
  <c r="O37" i="7"/>
  <c r="O35" i="7"/>
  <c r="O26" i="7"/>
  <c r="O34" i="7" l="1"/>
  <c r="AD76" i="7"/>
  <c r="AD69" i="7"/>
  <c r="N38" i="7"/>
  <c r="N37" i="7"/>
  <c r="N33" i="7"/>
  <c r="F62" i="7"/>
  <c r="F64" i="7"/>
  <c r="G64" i="7"/>
  <c r="H64" i="7"/>
  <c r="I64" i="7"/>
  <c r="J64" i="7"/>
  <c r="K64" i="7"/>
  <c r="M64" i="7"/>
  <c r="M62" i="7"/>
  <c r="M51" i="7"/>
  <c r="M53" i="7" s="1"/>
  <c r="M47" i="7"/>
  <c r="D57" i="13"/>
  <c r="AC28" i="7"/>
  <c r="AC10" i="7"/>
  <c r="M63" i="7" s="1"/>
  <c r="AC7" i="7"/>
  <c r="AC5" i="7"/>
  <c r="AC4" i="7"/>
  <c r="F66" i="13"/>
  <c r="F64" i="13"/>
  <c r="C63" i="13"/>
  <c r="F52" i="13"/>
  <c r="C51" i="13"/>
  <c r="C38" i="13"/>
  <c r="C41" i="13" s="1"/>
  <c r="F32" i="13"/>
  <c r="C31" i="13"/>
  <c r="F18" i="13"/>
  <c r="F34" i="13" s="1"/>
  <c r="C18" i="13"/>
  <c r="M33" i="7"/>
  <c r="AD72" i="7"/>
  <c r="N6" i="7"/>
  <c r="M6" i="7"/>
  <c r="M28" i="7" s="1"/>
  <c r="AC6" i="7" l="1"/>
  <c r="AC11" i="7" s="1"/>
  <c r="AD65" i="7"/>
  <c r="AD68" i="7"/>
  <c r="N34" i="7"/>
  <c r="AD54" i="7"/>
  <c r="AD60" i="7"/>
  <c r="AD63" i="7" s="1"/>
  <c r="AD70" i="7"/>
  <c r="AD75" i="7"/>
  <c r="AD67" i="7"/>
  <c r="AC54" i="7"/>
  <c r="C65" i="13"/>
  <c r="C33" i="13"/>
  <c r="AB23" i="7"/>
  <c r="AC76" i="7"/>
  <c r="AC75" i="7"/>
  <c r="AC69" i="7"/>
  <c r="L52" i="7"/>
  <c r="L46" i="7"/>
  <c r="L45" i="7"/>
  <c r="L44" i="7"/>
  <c r="L51" i="7" s="1"/>
  <c r="M37" i="7"/>
  <c r="M38" i="7"/>
  <c r="M65" i="7"/>
  <c r="M9" i="7"/>
  <c r="M16" i="7" s="1"/>
  <c r="M24" i="7" s="1"/>
  <c r="M26" i="7" s="1"/>
  <c r="AC41" i="7"/>
  <c r="AC39" i="7" s="1"/>
  <c r="AC47" i="7" s="1"/>
  <c r="AC68" i="7"/>
  <c r="AC59" i="7"/>
  <c r="AD62" i="7" s="1"/>
  <c r="Y28" i="7"/>
  <c r="Y54" i="7" s="1"/>
  <c r="Y41" i="7"/>
  <c r="Y39" i="7" s="1"/>
  <c r="Y10" i="7"/>
  <c r="Y75" i="7" s="1"/>
  <c r="Y6" i="7"/>
  <c r="Z28" i="7"/>
  <c r="Z39" i="7"/>
  <c r="Z10" i="7"/>
  <c r="Z6" i="7"/>
  <c r="Z67" i="7" s="1"/>
  <c r="B48" i="8" s="1"/>
  <c r="AA28" i="7"/>
  <c r="AA54" i="7" s="1"/>
  <c r="AA39" i="7"/>
  <c r="AA10" i="7"/>
  <c r="AA75" i="7" s="1"/>
  <c r="AA6" i="7"/>
  <c r="AB15" i="7"/>
  <c r="AB17" i="7"/>
  <c r="AB18" i="7"/>
  <c r="AB20" i="7"/>
  <c r="AB22" i="7"/>
  <c r="AB24" i="7"/>
  <c r="AB26" i="7"/>
  <c r="AB27" i="7"/>
  <c r="AB29" i="7"/>
  <c r="AB32" i="7"/>
  <c r="AC70" i="7" s="1"/>
  <c r="AB33" i="7"/>
  <c r="AB34" i="7"/>
  <c r="AB35" i="7"/>
  <c r="AB36" i="7"/>
  <c r="AB37" i="7"/>
  <c r="AB38" i="7"/>
  <c r="AB52" i="7"/>
  <c r="AB41" i="7"/>
  <c r="AB42" i="7"/>
  <c r="AB44" i="7"/>
  <c r="AB45" i="7"/>
  <c r="AB46" i="7"/>
  <c r="AB8" i="7"/>
  <c r="AB9" i="7"/>
  <c r="AB5" i="7"/>
  <c r="AB6" i="7" s="1"/>
  <c r="AB60" i="7" s="1"/>
  <c r="AB63" i="7" s="1"/>
  <c r="AB48" i="7"/>
  <c r="AB51" i="7"/>
  <c r="AB7" i="7"/>
  <c r="X28" i="7"/>
  <c r="X54" i="7" s="1"/>
  <c r="X41" i="7"/>
  <c r="X39" i="7" s="1"/>
  <c r="X10" i="7"/>
  <c r="X68" i="7" s="1"/>
  <c r="X6" i="7"/>
  <c r="W28" i="7"/>
  <c r="W54" i="7" s="1"/>
  <c r="W39" i="7"/>
  <c r="W10" i="7"/>
  <c r="G63" i="7" s="1"/>
  <c r="W6" i="7"/>
  <c r="W60" i="7" s="1"/>
  <c r="W63" i="7" s="1"/>
  <c r="V28" i="7"/>
  <c r="V54" i="7" s="1"/>
  <c r="V39" i="7"/>
  <c r="V10" i="7"/>
  <c r="F63" i="7" s="1"/>
  <c r="F65" i="7" s="1"/>
  <c r="V6" i="7"/>
  <c r="L62" i="7"/>
  <c r="L4" i="7"/>
  <c r="AB76" i="7" s="1"/>
  <c r="L10" i="7"/>
  <c r="L11" i="7"/>
  <c r="L12" i="7"/>
  <c r="L13" i="7"/>
  <c r="L14" i="7"/>
  <c r="L21" i="7"/>
  <c r="AA76" i="7"/>
  <c r="L20" i="7"/>
  <c r="L5" i="7"/>
  <c r="L25" i="7"/>
  <c r="L32" i="7"/>
  <c r="L31" i="7"/>
  <c r="AB69" i="7"/>
  <c r="AB59" i="7"/>
  <c r="AB62" i="7" s="1"/>
  <c r="L38" i="7"/>
  <c r="L37" i="7"/>
  <c r="F52" i="7"/>
  <c r="G52" i="7"/>
  <c r="H52" i="7"/>
  <c r="J52" i="7"/>
  <c r="K52" i="7"/>
  <c r="I52" i="7"/>
  <c r="E52" i="7"/>
  <c r="F51" i="7"/>
  <c r="F53" i="7" s="1"/>
  <c r="G51" i="7"/>
  <c r="H51" i="7"/>
  <c r="I51" i="7"/>
  <c r="J51" i="7"/>
  <c r="K51" i="7"/>
  <c r="E51" i="7"/>
  <c r="AA69" i="7"/>
  <c r="AA59" i="7"/>
  <c r="AA62" i="7" s="1"/>
  <c r="K47" i="7"/>
  <c r="K38" i="7"/>
  <c r="K37" i="7"/>
  <c r="K9" i="7"/>
  <c r="AA71" i="7" s="1"/>
  <c r="K6" i="7"/>
  <c r="K28" i="11"/>
  <c r="K25" i="11"/>
  <c r="L25" i="11"/>
  <c r="J25" i="11"/>
  <c r="H25" i="11"/>
  <c r="F25" i="11"/>
  <c r="M18" i="11"/>
  <c r="J18" i="11"/>
  <c r="H18" i="11"/>
  <c r="F18" i="11"/>
  <c r="L18" i="11"/>
  <c r="D18" i="11"/>
  <c r="D25" i="11"/>
  <c r="B26" i="11"/>
  <c r="B24" i="11"/>
  <c r="B20" i="11"/>
  <c r="B19" i="11"/>
  <c r="B13" i="11"/>
  <c r="B5" i="11"/>
  <c r="K62" i="7"/>
  <c r="B24" i="8"/>
  <c r="B20" i="8"/>
  <c r="B19" i="8"/>
  <c r="B13" i="8"/>
  <c r="B5" i="8"/>
  <c r="I62" i="7"/>
  <c r="J62" i="7"/>
  <c r="Y76" i="7"/>
  <c r="Z76" i="7"/>
  <c r="Y69" i="7"/>
  <c r="Z69" i="7"/>
  <c r="B33" i="8" s="1"/>
  <c r="Y59" i="7"/>
  <c r="Y62" i="7" s="1"/>
  <c r="Z59" i="7"/>
  <c r="Z62" i="7" s="1"/>
  <c r="B27" i="11"/>
  <c r="B27" i="8"/>
  <c r="I47" i="7"/>
  <c r="I48" i="7" s="1"/>
  <c r="J47" i="7"/>
  <c r="J38" i="7"/>
  <c r="I38" i="7"/>
  <c r="J37" i="7"/>
  <c r="I37" i="7"/>
  <c r="J9" i="7"/>
  <c r="J16" i="7" s="1"/>
  <c r="I9" i="7"/>
  <c r="Y72" i="7" s="1"/>
  <c r="I6" i="7"/>
  <c r="J6" i="7"/>
  <c r="Z70" i="7" s="1"/>
  <c r="Z60" i="7"/>
  <c r="B34" i="11" s="1"/>
  <c r="Z75" i="7"/>
  <c r="B50" i="11" s="1"/>
  <c r="H62" i="7"/>
  <c r="Y60" i="7"/>
  <c r="Y63" i="7" s="1"/>
  <c r="Y11" i="7"/>
  <c r="B38" i="8"/>
  <c r="G25" i="8"/>
  <c r="F25" i="8"/>
  <c r="E25" i="8"/>
  <c r="D25" i="8"/>
  <c r="C25" i="8"/>
  <c r="F33" i="8"/>
  <c r="E33" i="8"/>
  <c r="D33" i="8"/>
  <c r="C33" i="8"/>
  <c r="G33" i="8"/>
  <c r="G11" i="8"/>
  <c r="F18" i="8"/>
  <c r="F50" i="8" s="1"/>
  <c r="E18" i="8"/>
  <c r="E50" i="8" s="1"/>
  <c r="D18" i="8"/>
  <c r="D50" i="8"/>
  <c r="C18" i="8"/>
  <c r="C50" i="8" s="1"/>
  <c r="G18" i="8"/>
  <c r="D14" i="8"/>
  <c r="E14" i="8"/>
  <c r="F14" i="8"/>
  <c r="G14" i="8"/>
  <c r="D11" i="8"/>
  <c r="E11" i="8"/>
  <c r="F11" i="8"/>
  <c r="D8" i="8"/>
  <c r="E8" i="8"/>
  <c r="F8" i="8"/>
  <c r="G8" i="8"/>
  <c r="D6" i="8"/>
  <c r="E6" i="8"/>
  <c r="F6" i="8"/>
  <c r="G6" i="8"/>
  <c r="C14" i="8"/>
  <c r="C8" i="8"/>
  <c r="G12" i="8"/>
  <c r="F12" i="8"/>
  <c r="E12" i="8"/>
  <c r="D12" i="8"/>
  <c r="C12" i="8"/>
  <c r="G9" i="8"/>
  <c r="F9" i="8"/>
  <c r="E9" i="8"/>
  <c r="D9" i="8"/>
  <c r="C9" i="8"/>
  <c r="X76" i="7"/>
  <c r="X69" i="7"/>
  <c r="X59" i="7"/>
  <c r="X62" i="7" s="1"/>
  <c r="H47" i="7"/>
  <c r="G47" i="7"/>
  <c r="H25" i="7"/>
  <c r="W76" i="7"/>
  <c r="V76" i="7"/>
  <c r="U76" i="7"/>
  <c r="T76" i="7"/>
  <c r="X60" i="7"/>
  <c r="X63" i="7" s="1"/>
  <c r="H38" i="7"/>
  <c r="B14" i="8" s="1"/>
  <c r="H37" i="7"/>
  <c r="H9" i="7"/>
  <c r="H16" i="7" s="1"/>
  <c r="H6" i="7"/>
  <c r="X11" i="7"/>
  <c r="T72" i="7"/>
  <c r="S72" i="7"/>
  <c r="R72" i="7"/>
  <c r="T71" i="7"/>
  <c r="S71" i="7"/>
  <c r="R71" i="7"/>
  <c r="W69" i="7"/>
  <c r="V69" i="7"/>
  <c r="U69" i="7"/>
  <c r="T69" i="7"/>
  <c r="S69" i="7"/>
  <c r="R69" i="7"/>
  <c r="E64" i="7"/>
  <c r="D64" i="7"/>
  <c r="C64" i="7"/>
  <c r="B64" i="7"/>
  <c r="G62" i="7"/>
  <c r="E62" i="7"/>
  <c r="D62" i="7"/>
  <c r="C62" i="7"/>
  <c r="B62" i="7"/>
  <c r="W59" i="7"/>
  <c r="W62" i="7" s="1"/>
  <c r="V59" i="7"/>
  <c r="V62" i="7" s="1"/>
  <c r="U59" i="7"/>
  <c r="U62" i="7" s="1"/>
  <c r="T59" i="7"/>
  <c r="T62" i="7" s="1"/>
  <c r="S59" i="7"/>
  <c r="S62" i="7" s="1"/>
  <c r="R59" i="7"/>
  <c r="R62" i="7" s="1"/>
  <c r="F47" i="7"/>
  <c r="F48" i="7" s="1"/>
  <c r="G43" i="7" s="1"/>
  <c r="E47" i="7"/>
  <c r="E48" i="7" s="1"/>
  <c r="D47" i="7"/>
  <c r="D48" i="7" s="1"/>
  <c r="C47" i="7"/>
  <c r="C48" i="7" s="1"/>
  <c r="B47" i="7"/>
  <c r="B48" i="7" s="1"/>
  <c r="G38" i="7"/>
  <c r="F38" i="7"/>
  <c r="G37" i="7"/>
  <c r="F37" i="7"/>
  <c r="E37" i="7"/>
  <c r="D37" i="7"/>
  <c r="C37" i="7"/>
  <c r="U39" i="7"/>
  <c r="T39" i="7"/>
  <c r="S39" i="7"/>
  <c r="R39" i="7"/>
  <c r="U28" i="7"/>
  <c r="U54" i="7" s="1"/>
  <c r="T28" i="7"/>
  <c r="S28" i="7"/>
  <c r="S54" i="7" s="1"/>
  <c r="R28" i="7"/>
  <c r="R54" i="7" s="1"/>
  <c r="U10" i="7"/>
  <c r="U75" i="7" s="1"/>
  <c r="T10" i="7"/>
  <c r="D63" i="7" s="1"/>
  <c r="S10" i="7"/>
  <c r="R10" i="7"/>
  <c r="R75" i="7" s="1"/>
  <c r="G9" i="7"/>
  <c r="F9" i="7"/>
  <c r="V71" i="7" s="1"/>
  <c r="E9" i="7"/>
  <c r="E16" i="7" s="1"/>
  <c r="D9" i="7"/>
  <c r="C9" i="7"/>
  <c r="B9" i="7"/>
  <c r="V11" i="7"/>
  <c r="U6" i="7"/>
  <c r="U11" i="7" s="1"/>
  <c r="G6" i="7"/>
  <c r="F6" i="7"/>
  <c r="E6" i="7"/>
  <c r="D6" i="7"/>
  <c r="D16" i="7" s="1"/>
  <c r="D19" i="7" s="1"/>
  <c r="C6" i="7"/>
  <c r="S70" i="7" s="1"/>
  <c r="S73" i="7" s="1"/>
  <c r="B6" i="7"/>
  <c r="R70" i="7" s="1"/>
  <c r="T5" i="7"/>
  <c r="T6" i="7" s="1"/>
  <c r="S5" i="7"/>
  <c r="S6" i="7" s="1"/>
  <c r="S11" i="7" s="1"/>
  <c r="R5" i="7"/>
  <c r="R6" i="7" s="1"/>
  <c r="B25" i="8"/>
  <c r="B25" i="11"/>
  <c r="W11" i="7"/>
  <c r="V60" i="7"/>
  <c r="V63" i="7" s="1"/>
  <c r="W67" i="7"/>
  <c r="W68" i="7"/>
  <c r="W47" i="7" l="1"/>
  <c r="K53" i="7"/>
  <c r="J53" i="7"/>
  <c r="B17" i="8"/>
  <c r="B17" i="11"/>
  <c r="H63" i="7"/>
  <c r="Z11" i="7"/>
  <c r="Z66" i="7" s="1"/>
  <c r="AD74" i="7"/>
  <c r="I63" i="7"/>
  <c r="I65" i="7" s="1"/>
  <c r="R67" i="7"/>
  <c r="K8" i="7"/>
  <c r="V67" i="7"/>
  <c r="S47" i="7"/>
  <c r="Y67" i="7"/>
  <c r="V68" i="7"/>
  <c r="V75" i="7"/>
  <c r="X67" i="7"/>
  <c r="Z72" i="7"/>
  <c r="B44" i="8" s="1"/>
  <c r="K63" i="7"/>
  <c r="K65" i="7" s="1"/>
  <c r="H7" i="7"/>
  <c r="X75" i="7"/>
  <c r="Y68" i="7"/>
  <c r="G48" i="7"/>
  <c r="H43" i="7" s="1"/>
  <c r="H48" i="7" s="1"/>
  <c r="J43" i="7" s="1"/>
  <c r="J48" i="7" s="1"/>
  <c r="K43" i="7" s="1"/>
  <c r="K48" i="7" s="1"/>
  <c r="L43" i="7" s="1"/>
  <c r="AA68" i="7"/>
  <c r="V55" i="7"/>
  <c r="AA47" i="7"/>
  <c r="S12" i="7"/>
  <c r="AA67" i="7"/>
  <c r="T47" i="7"/>
  <c r="U12" i="7"/>
  <c r="G53" i="7"/>
  <c r="B63" i="7"/>
  <c r="B65" i="7" s="1"/>
  <c r="Z71" i="7"/>
  <c r="Z73" i="7" s="1"/>
  <c r="B47" i="11" s="1"/>
  <c r="V12" i="7"/>
  <c r="X12" i="7"/>
  <c r="AA12" i="7"/>
  <c r="Z47" i="7"/>
  <c r="L53" i="7"/>
  <c r="E63" i="7"/>
  <c r="E65" i="7" s="1"/>
  <c r="U64" i="7" s="1"/>
  <c r="G8" i="7"/>
  <c r="U60" i="7"/>
  <c r="U63" i="7" s="1"/>
  <c r="U72" i="7"/>
  <c r="E7" i="7"/>
  <c r="T75" i="7"/>
  <c r="B14" i="11"/>
  <c r="H65" i="7"/>
  <c r="X64" i="7" s="1"/>
  <c r="T70" i="7"/>
  <c r="T73" i="7" s="1"/>
  <c r="U71" i="7"/>
  <c r="G7" i="7"/>
  <c r="L6" i="7"/>
  <c r="AB70" i="7" s="1"/>
  <c r="G65" i="7"/>
  <c r="AB10" i="7"/>
  <c r="AB75" i="7" s="1"/>
  <c r="AD71" i="7"/>
  <c r="AD73" i="7" s="1"/>
  <c r="H18" i="7"/>
  <c r="E19" i="7"/>
  <c r="E17" i="7"/>
  <c r="E24" i="7"/>
  <c r="X55" i="7"/>
  <c r="X47" i="7"/>
  <c r="K7" i="7"/>
  <c r="AA70" i="7"/>
  <c r="Z55" i="7"/>
  <c r="W55" i="7"/>
  <c r="AA55" i="7"/>
  <c r="Z54" i="7"/>
  <c r="Z12" i="7" s="1"/>
  <c r="J7" i="7"/>
  <c r="B34" i="8"/>
  <c r="Z68" i="7"/>
  <c r="B33" i="11"/>
  <c r="AA60" i="7"/>
  <c r="AA63" i="7" s="1"/>
  <c r="I53" i="7"/>
  <c r="AC12" i="7"/>
  <c r="AB39" i="7"/>
  <c r="R55" i="7"/>
  <c r="Z63" i="7"/>
  <c r="U70" i="7"/>
  <c r="W75" i="7"/>
  <c r="I16" i="7"/>
  <c r="I17" i="7" s="1"/>
  <c r="AA11" i="7"/>
  <c r="W12" i="7"/>
  <c r="AC64" i="7"/>
  <c r="AC72" i="7"/>
  <c r="V47" i="7"/>
  <c r="T54" i="7"/>
  <c r="T12" i="7" s="1"/>
  <c r="R68" i="7"/>
  <c r="B16" i="7"/>
  <c r="U55" i="7"/>
  <c r="Y71" i="7"/>
  <c r="B48" i="11"/>
  <c r="Y70" i="7"/>
  <c r="R73" i="7"/>
  <c r="U68" i="7"/>
  <c r="R12" i="7"/>
  <c r="W70" i="7"/>
  <c r="F16" i="7"/>
  <c r="F17" i="7" s="1"/>
  <c r="J63" i="7"/>
  <c r="J65" i="7" s="1"/>
  <c r="K16" i="7"/>
  <c r="K17" i="7" s="1"/>
  <c r="L9" i="7"/>
  <c r="L16" i="7" s="1"/>
  <c r="L64" i="7"/>
  <c r="B18" i="8"/>
  <c r="C66" i="13"/>
  <c r="Y47" i="7"/>
  <c r="Y55" i="7"/>
  <c r="Y12" i="7"/>
  <c r="U66" i="7"/>
  <c r="S67" i="7"/>
  <c r="AB67" i="7"/>
  <c r="AB68" i="7"/>
  <c r="T60" i="7"/>
  <c r="T63" i="7" s="1"/>
  <c r="T68" i="7"/>
  <c r="T55" i="7"/>
  <c r="T11" i="7"/>
  <c r="T66" i="7" s="1"/>
  <c r="T67" i="7"/>
  <c r="AC55" i="7"/>
  <c r="AC67" i="7"/>
  <c r="AC65" i="7"/>
  <c r="AC60" i="7"/>
  <c r="AC63" i="7" s="1"/>
  <c r="AC66" i="7"/>
  <c r="R11" i="7"/>
  <c r="R66" i="7" s="1"/>
  <c r="D65" i="7"/>
  <c r="T64" i="7" s="1"/>
  <c r="L8" i="7"/>
  <c r="B50" i="8"/>
  <c r="U47" i="7"/>
  <c r="U74" i="7" s="1"/>
  <c r="H53" i="7"/>
  <c r="AB28" i="7"/>
  <c r="S55" i="7"/>
  <c r="X70" i="7"/>
  <c r="I7" i="7"/>
  <c r="R47" i="7"/>
  <c r="R74" i="7" s="1"/>
  <c r="S68" i="7"/>
  <c r="V72" i="7"/>
  <c r="F8" i="7"/>
  <c r="J8" i="7"/>
  <c r="B6" i="11" s="1"/>
  <c r="H8" i="7"/>
  <c r="S75" i="7"/>
  <c r="E53" i="7"/>
  <c r="AC62" i="7"/>
  <c r="D24" i="7"/>
  <c r="C63" i="7"/>
  <c r="C65" i="7" s="1"/>
  <c r="B40" i="8"/>
  <c r="B40" i="11"/>
  <c r="AB11" i="7"/>
  <c r="M19" i="7"/>
  <c r="U67" i="7"/>
  <c r="X72" i="7"/>
  <c r="B45" i="8" s="1"/>
  <c r="B18" i="11"/>
  <c r="AC71" i="7"/>
  <c r="V70" i="7"/>
  <c r="F7" i="7"/>
  <c r="I8" i="7"/>
  <c r="G16" i="7"/>
  <c r="H17" i="7" s="1"/>
  <c r="W71" i="7"/>
  <c r="J17" i="7"/>
  <c r="B7" i="11"/>
  <c r="B9" i="11" s="1"/>
  <c r="J24" i="7"/>
  <c r="B7" i="8"/>
  <c r="B9" i="8" s="1"/>
  <c r="J19" i="7"/>
  <c r="W72" i="7"/>
  <c r="C16" i="7"/>
  <c r="C7" i="7"/>
  <c r="D7" i="7"/>
  <c r="H19" i="7"/>
  <c r="H24" i="7"/>
  <c r="X66" i="7"/>
  <c r="B32" i="11"/>
  <c r="B32" i="8"/>
  <c r="B44" i="11"/>
  <c r="AA72" i="7"/>
  <c r="X71" i="7"/>
  <c r="L47" i="7"/>
  <c r="L63" i="7" l="1"/>
  <c r="AB55" i="7"/>
  <c r="W74" i="7"/>
  <c r="X74" i="7"/>
  <c r="T74" i="7"/>
  <c r="R64" i="7"/>
  <c r="L19" i="7"/>
  <c r="L7" i="7"/>
  <c r="B24" i="7"/>
  <c r="B27" i="7" s="1"/>
  <c r="B33" i="7" s="1"/>
  <c r="R65" i="7" s="1"/>
  <c r="Y73" i="7"/>
  <c r="AA74" i="7"/>
  <c r="AC73" i="7"/>
  <c r="M7" i="7"/>
  <c r="AB72" i="7"/>
  <c r="U73" i="7"/>
  <c r="Z64" i="7"/>
  <c r="B28" i="8"/>
  <c r="Y64" i="7"/>
  <c r="AA64" i="7"/>
  <c r="B45" i="11"/>
  <c r="L65" i="7"/>
  <c r="AB64" i="7" s="1"/>
  <c r="Z74" i="7"/>
  <c r="AB71" i="7"/>
  <c r="V66" i="7"/>
  <c r="AB66" i="7"/>
  <c r="AA73" i="7"/>
  <c r="L24" i="7"/>
  <c r="L26" i="7" s="1"/>
  <c r="S74" i="7"/>
  <c r="B47" i="8"/>
  <c r="B19" i="7"/>
  <c r="Y74" i="7"/>
  <c r="B46" i="11"/>
  <c r="B46" i="8"/>
  <c r="I18" i="7"/>
  <c r="F19" i="7"/>
  <c r="V74" i="7"/>
  <c r="AA66" i="7"/>
  <c r="E26" i="7"/>
  <c r="E27" i="7"/>
  <c r="I19" i="7"/>
  <c r="Y66" i="7"/>
  <c r="I24" i="7"/>
  <c r="J18" i="7"/>
  <c r="B8" i="8" s="1"/>
  <c r="K19" i="7"/>
  <c r="K24" i="7"/>
  <c r="L48" i="7"/>
  <c r="F24" i="7"/>
  <c r="F27" i="7" s="1"/>
  <c r="W73" i="7"/>
  <c r="V73" i="7"/>
  <c r="V64" i="7"/>
  <c r="X73" i="7"/>
  <c r="AB54" i="7"/>
  <c r="AB12" i="7" s="1"/>
  <c r="AB47" i="7"/>
  <c r="D27" i="7"/>
  <c r="D26" i="7"/>
  <c r="B6" i="8"/>
  <c r="S66" i="7"/>
  <c r="C17" i="7"/>
  <c r="S64" i="7"/>
  <c r="C19" i="7"/>
  <c r="C24" i="7"/>
  <c r="C27" i="7" s="1"/>
  <c r="C33" i="7" s="1"/>
  <c r="D17" i="7"/>
  <c r="H27" i="7"/>
  <c r="H26" i="7"/>
  <c r="J26" i="7"/>
  <c r="J27" i="7"/>
  <c r="B42" i="11"/>
  <c r="B42" i="8"/>
  <c r="G19" i="7"/>
  <c r="G24" i="7"/>
  <c r="W66" i="7"/>
  <c r="G18" i="7"/>
  <c r="W64" i="7"/>
  <c r="K18" i="7"/>
  <c r="G17" i="7"/>
  <c r="F18" i="7"/>
  <c r="AB73" i="7" l="1"/>
  <c r="B8" i="11"/>
  <c r="L27" i="7"/>
  <c r="L33" i="7" s="1"/>
  <c r="M34" i="7" s="1"/>
  <c r="E33" i="7"/>
  <c r="U65" i="7" s="1"/>
  <c r="E28" i="7"/>
  <c r="F26" i="7"/>
  <c r="K26" i="7"/>
  <c r="K27" i="7"/>
  <c r="I27" i="7"/>
  <c r="I29" i="7" s="1"/>
  <c r="I26" i="7"/>
  <c r="D28" i="7"/>
  <c r="D33" i="7"/>
  <c r="AC74" i="7"/>
  <c r="AB74" i="7"/>
  <c r="H29" i="7"/>
  <c r="H33" i="7"/>
  <c r="H28" i="7"/>
  <c r="G26" i="7"/>
  <c r="G27" i="7"/>
  <c r="B10" i="11"/>
  <c r="B12" i="11" s="1"/>
  <c r="B10" i="8"/>
  <c r="B12" i="8" s="1"/>
  <c r="J33" i="7"/>
  <c r="N35" i="7" s="1"/>
  <c r="J29" i="7"/>
  <c r="J28" i="7"/>
  <c r="F28" i="7"/>
  <c r="F33" i="7"/>
  <c r="S65" i="7"/>
  <c r="C34" i="7"/>
  <c r="L28" i="7" l="1"/>
  <c r="M29" i="7"/>
  <c r="I33" i="7"/>
  <c r="I28" i="7"/>
  <c r="K28" i="7"/>
  <c r="K33" i="7"/>
  <c r="AA65" i="7" s="1"/>
  <c r="E34" i="7"/>
  <c r="T65" i="7"/>
  <c r="D34" i="7"/>
  <c r="K29" i="7"/>
  <c r="G33" i="7"/>
  <c r="G28" i="7"/>
  <c r="F35" i="7"/>
  <c r="F34" i="7"/>
  <c r="V65" i="7"/>
  <c r="I35" i="7"/>
  <c r="Z65" i="7"/>
  <c r="J35" i="7"/>
  <c r="J34" i="7"/>
  <c r="X65" i="7"/>
  <c r="H35" i="7"/>
  <c r="I34" i="7"/>
  <c r="L34" i="7"/>
  <c r="AB65" i="7"/>
  <c r="L35" i="7"/>
  <c r="B11" i="8"/>
  <c r="B11" i="11"/>
  <c r="K34" i="7" l="1"/>
  <c r="Y65" i="7"/>
  <c r="M35" i="7"/>
  <c r="G35" i="7"/>
  <c r="W65" i="7"/>
  <c r="G34" i="7"/>
  <c r="K35" i="7"/>
  <c r="B41" i="8"/>
  <c r="B41" i="11"/>
  <c r="H34" i="7"/>
  <c r="AD55" i="7"/>
  <c r="N26" i="7" l="1"/>
  <c r="N19" i="7" l="1"/>
  <c r="AD66" i="7"/>
  <c r="AD64" i="7"/>
</calcChain>
</file>

<file path=xl/sharedStrings.xml><?xml version="1.0" encoding="utf-8"?>
<sst xmlns="http://schemas.openxmlformats.org/spreadsheetml/2006/main" count="556" uniqueCount="312">
  <si>
    <t>Y/E, Mar (Rs. mn)</t>
  </si>
  <si>
    <t>Growth (%)</t>
  </si>
  <si>
    <t>Expenditure</t>
  </si>
  <si>
    <t>EBITDA</t>
  </si>
  <si>
    <t>EBITDA margin (%)</t>
  </si>
  <si>
    <t>Other Income</t>
  </si>
  <si>
    <t>PBT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</si>
  <si>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</si>
  <si>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</si>
  <si>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</si>
  <si>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</si>
  <si>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</si>
  <si>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</si>
  <si>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</si>
  <si>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</si>
  <si>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</si>
  <si>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</si>
  <si>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</si>
  <si>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</si>
  <si>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</si>
  <si>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</si>
  <si>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</si>
  <si>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FY14</t>
  </si>
  <si>
    <t>FY15</t>
  </si>
  <si>
    <t>FY16</t>
  </si>
  <si>
    <t>FY17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</si>
  <si>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</si>
  <si>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</si>
  <si>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</si>
  <si>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</si>
  <si>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</si>
  <si>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</si>
  <si>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</si>
  <si>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</si>
  <si>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</si>
  <si>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</si>
  <si>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</si>
  <si>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</si>
  <si>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</si>
  <si>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</si>
  <si>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</si>
  <si>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</si>
  <si>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</si>
  <si>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</si>
  <si>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</si>
  <si>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</si>
  <si>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</si>
  <si>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</si>
  <si>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</si>
  <si>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</si>
  <si>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</si>
  <si>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</si>
  <si>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</si>
  <si>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</si>
  <si>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</si>
  <si>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Current Assets</t>
  </si>
  <si>
    <t>Other Expenses</t>
  </si>
  <si>
    <t>Other Comprehensive Income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</si>
  <si>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</si>
  <si>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</si>
  <si>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</si>
  <si>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</si>
  <si>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</si>
  <si>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</si>
  <si>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</si>
  <si>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</si>
  <si>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</si>
  <si>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</si>
  <si>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FY18</t>
  </si>
  <si>
    <t>Interest Cost</t>
  </si>
  <si>
    <t>TOTAL ASSETS</t>
  </si>
  <si>
    <t>TOTAL LIABILITIES</t>
  </si>
  <si>
    <t>Net Income</t>
  </si>
  <si>
    <t>Balance Sheet</t>
  </si>
  <si>
    <t>Income Statement</t>
  </si>
  <si>
    <t>FY19</t>
  </si>
  <si>
    <t>Kiri Industries Ltd. (Consolidated)</t>
  </si>
  <si>
    <t>Revenue from Operations</t>
  </si>
  <si>
    <t>Equity Share Capital</t>
  </si>
  <si>
    <t>Other Equity</t>
  </si>
  <si>
    <t>CAGR (%) - 3 Years</t>
  </si>
  <si>
    <t>Purchases of Stock-in-trade</t>
  </si>
  <si>
    <t>Changes in inventory of FG WIP &amp; SIT</t>
  </si>
  <si>
    <t>Excise Duty on sales</t>
  </si>
  <si>
    <t>Property, Palnt and Equipment</t>
  </si>
  <si>
    <t>Capital WIP</t>
  </si>
  <si>
    <t>Other Intangible Assets</t>
  </si>
  <si>
    <t>Non-Current Investments</t>
  </si>
  <si>
    <t>Financial Assets</t>
  </si>
  <si>
    <t>Depreciation and amortisation cost</t>
  </si>
  <si>
    <t>a) Investment</t>
  </si>
  <si>
    <t>Finance Cost</t>
  </si>
  <si>
    <t>b) Other financial assets</t>
  </si>
  <si>
    <t>Excp Item</t>
  </si>
  <si>
    <t>Long Term Loans and Advances</t>
  </si>
  <si>
    <t>Extraordinary Items</t>
  </si>
  <si>
    <t>Other Non-Current assets</t>
  </si>
  <si>
    <t>a) Current Investments</t>
  </si>
  <si>
    <t>b) Trade Receivables</t>
  </si>
  <si>
    <t>c) Cash &amp; Cash Equivalents</t>
  </si>
  <si>
    <t>Share of Profit of associates</t>
  </si>
  <si>
    <t>d) Bank Bal other than above</t>
  </si>
  <si>
    <t>e) Loans</t>
  </si>
  <si>
    <t>PAT After MI (Total Comprehensive Income)</t>
  </si>
  <si>
    <t>f) Other Current Financial Assets</t>
  </si>
  <si>
    <t>Current Tax Assets (Net)</t>
  </si>
  <si>
    <t>CAGR (%)</t>
  </si>
  <si>
    <t>Current Financial Liabilities</t>
  </si>
  <si>
    <t>a) Trade Payables</t>
  </si>
  <si>
    <t>b) Other Financial liabilities</t>
  </si>
  <si>
    <t>Provisions</t>
  </si>
  <si>
    <t>Current Tax Liability (Net)</t>
  </si>
  <si>
    <t>Long Term Provisions</t>
  </si>
  <si>
    <t>Deferred Tax Liability (Net)</t>
  </si>
  <si>
    <t>Trade payable</t>
  </si>
  <si>
    <t>Other Financial Liabilities</t>
  </si>
  <si>
    <t>Defferred tax assets</t>
  </si>
  <si>
    <t>FY20</t>
  </si>
  <si>
    <t>c) Trade Receivables</t>
  </si>
  <si>
    <t>Fixed Assets Turnover Ratio</t>
  </si>
  <si>
    <t>Peer Comparison Analysis - Kiri Industries Ltd.</t>
  </si>
  <si>
    <t>Kiri</t>
  </si>
  <si>
    <t>Bodal</t>
  </si>
  <si>
    <t>Bhageria</t>
  </si>
  <si>
    <t>Sh. Pushkar</t>
  </si>
  <si>
    <t>Aksharchem</t>
  </si>
  <si>
    <t>Atul</t>
  </si>
  <si>
    <t>Net Sales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</si>
  <si>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</si>
  <si>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</si>
  <si>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</si>
  <si>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</si>
  <si>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</si>
  <si>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</si>
  <si>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</si>
  <si>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</si>
  <si>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Value(Mn)</t>
  </si>
  <si>
    <t>VALUATIONS COMPARISION</t>
  </si>
  <si>
    <t>Stock P:E</t>
  </si>
  <si>
    <t>Price:Book Value</t>
  </si>
  <si>
    <t>EV/ EBITDA</t>
  </si>
  <si>
    <t>OPERATIONAL RATIOS COMPARISION</t>
  </si>
  <si>
    <t>Book Value per Share</t>
  </si>
  <si>
    <t>ROE</t>
  </si>
  <si>
    <t>ROCE</t>
  </si>
  <si>
    <t>Receivable days</t>
  </si>
  <si>
    <t>Payable days</t>
  </si>
  <si>
    <t>Cash Conversion Cycle</t>
  </si>
  <si>
    <t>Gross Debt/Equity</t>
  </si>
  <si>
    <t>Interest Coverage Ratio</t>
  </si>
  <si>
    <t>Interest Cost (%)</t>
  </si>
  <si>
    <t>Market Cap (as on 31/03/20)</t>
  </si>
  <si>
    <t>Fixed Asset Turnover</t>
  </si>
  <si>
    <t>CMP (as on 31/03/20)</t>
  </si>
  <si>
    <t>Dividend per share</t>
  </si>
  <si>
    <t>INR in Mn</t>
  </si>
  <si>
    <t>37.11*</t>
  </si>
  <si>
    <t>37.42*</t>
  </si>
  <si>
    <t>36.41*</t>
  </si>
  <si>
    <t>38.12*</t>
  </si>
  <si>
    <t>37.47*</t>
  </si>
  <si>
    <t>69.24*</t>
  </si>
  <si>
    <t>51.57*</t>
  </si>
  <si>
    <t>41.57*</t>
  </si>
  <si>
    <t>79.24*</t>
  </si>
  <si>
    <t>26.22*</t>
  </si>
  <si>
    <t>59.47*</t>
  </si>
  <si>
    <t>19.63*</t>
  </si>
  <si>
    <t>47.49*</t>
  </si>
  <si>
    <t>31.62*</t>
  </si>
  <si>
    <t>28.39*</t>
  </si>
  <si>
    <t>86.73*</t>
  </si>
  <si>
    <t>41.15*</t>
  </si>
  <si>
    <t>56.00*</t>
  </si>
  <si>
    <t>71.87*</t>
  </si>
  <si>
    <t>25.15*</t>
  </si>
  <si>
    <t>38.57*</t>
  </si>
  <si>
    <t>Finance cost</t>
  </si>
  <si>
    <t>NA</t>
  </si>
  <si>
    <t>*(As on FY19)</t>
  </si>
  <si>
    <t>H1-FY21</t>
  </si>
  <si>
    <t>9M-FY21</t>
  </si>
  <si>
    <t>-</t>
  </si>
  <si>
    <t>FY21</t>
  </si>
  <si>
    <t>P&amp;L Comparision (As on FY21)</t>
  </si>
  <si>
    <t>Deepak Krishnan 7022619241 Goldman Sachs</t>
  </si>
  <si>
    <t>Mukund Sarawogi 919167357029 Morgan Stanley</t>
  </si>
  <si>
    <t>Niraj Sarvai 9920485752 JM Financial</t>
  </si>
  <si>
    <t>Pratik Jain 918310160193 Goldman Sachs 145 Priyanka Dhingra 9953050667 SBI Mutual Fund</t>
  </si>
  <si>
    <t>Pulkit Patni 9820107735 Goldman Sachs</t>
  </si>
  <si>
    <t>Raj Kiran Gandhi 917506935887 SBI Mutual Fund</t>
  </si>
  <si>
    <t>Rajesh L 918879165509 HSBC</t>
  </si>
  <si>
    <t>Rishabh Gupta 919900696860 Goldman Sachs</t>
  </si>
  <si>
    <t>H1-FY22</t>
  </si>
  <si>
    <t>Operational Sales</t>
  </si>
  <si>
    <t>CMP (As on 30th Sept)</t>
  </si>
  <si>
    <t>Book Value (Rs.)</t>
  </si>
  <si>
    <t>Asset Turnover</t>
  </si>
  <si>
    <t>Peer Comparison Analysis - Kiri Industries (India) Ltd.</t>
  </si>
  <si>
    <t>Kiri Industries</t>
  </si>
  <si>
    <t>Bodal Chemicals</t>
  </si>
  <si>
    <t>Bhageria Industries</t>
  </si>
  <si>
    <t>Shree Pushkar chemicals</t>
  </si>
  <si>
    <t>Akshar Chemicals</t>
  </si>
  <si>
    <t>Atul Ltd</t>
  </si>
  <si>
    <t>FY22</t>
  </si>
  <si>
    <t>Consolidated (In Mn)</t>
  </si>
  <si>
    <t>Bodal Chemicals Limited</t>
  </si>
  <si>
    <t>Atul Ltd.</t>
  </si>
  <si>
    <t>AksharChem India</t>
  </si>
  <si>
    <t>Shree Pushkar Chemicals &amp; Fertilisers</t>
  </si>
  <si>
    <t>Color Coding</t>
  </si>
  <si>
    <t>P&amp;L Comparison</t>
  </si>
  <si>
    <t>Below Peer Range</t>
  </si>
  <si>
    <t>Total Income/Operational Income</t>
  </si>
  <si>
    <t>Above Peer Range</t>
  </si>
  <si>
    <t>Within Peer Range</t>
  </si>
  <si>
    <t xml:space="preserve">EBITDA </t>
  </si>
  <si>
    <t>Total Networth (Total Equity)</t>
  </si>
  <si>
    <t>Purchase of Plant &amp; Machinery</t>
  </si>
  <si>
    <t>No. of Shares (In Mn)</t>
  </si>
  <si>
    <t>Enterprise Value</t>
  </si>
  <si>
    <t>Cash &amp; Cash Equvivalents</t>
  </si>
  <si>
    <t>Stock P/E</t>
  </si>
  <si>
    <t>Dividend (Total= interim + Final)</t>
  </si>
  <si>
    <t>P/B</t>
  </si>
  <si>
    <t>Operational Ratios Comparison</t>
  </si>
  <si>
    <t>Book Value</t>
  </si>
  <si>
    <t>Book Value Per Share</t>
  </si>
  <si>
    <t>EBIT</t>
  </si>
  <si>
    <t>Depreciation</t>
  </si>
  <si>
    <t>Non Current Liabilities</t>
  </si>
  <si>
    <t>PPE -Balance Sheet</t>
  </si>
  <si>
    <t>CWIP - Balance Sheet</t>
  </si>
  <si>
    <t>Investment- Balance Sheet</t>
  </si>
  <si>
    <t>Net Debt/Equity</t>
  </si>
  <si>
    <t>Forumlas</t>
  </si>
  <si>
    <t>Revenue/Fixed Assets</t>
  </si>
  <si>
    <t>Fixed Assets</t>
  </si>
  <si>
    <t>PPE + CWIP</t>
  </si>
  <si>
    <t>Market Cap+ Total Debt-Cash and Cash Equvivalents</t>
  </si>
  <si>
    <t>Capital Employeed</t>
  </si>
  <si>
    <t>Total Equity+ Non current Liabilities</t>
  </si>
  <si>
    <t>EBIDTA-Dep</t>
  </si>
  <si>
    <t>EBIT/Capital employed</t>
  </si>
  <si>
    <t>Dividend Yeild</t>
  </si>
  <si>
    <t>DPS/CMP</t>
  </si>
  <si>
    <t>Free Cash Flow</t>
  </si>
  <si>
    <t>CFO-Capex</t>
  </si>
  <si>
    <t>Capex</t>
  </si>
  <si>
    <t xml:space="preserve">Purchase of PPE </t>
  </si>
  <si>
    <t>Net Debt</t>
  </si>
  <si>
    <t>Total Debt-Cash and Cash Equvivalent</t>
  </si>
  <si>
    <t>EBIT/Interest Expenses(Finance Cost)</t>
  </si>
  <si>
    <t>Finance cost/Total Debt</t>
  </si>
  <si>
    <t>FY23</t>
  </si>
  <si>
    <t>Total Income/Operational Income 2020 (FY21 -AR)</t>
  </si>
  <si>
    <t>EBITDA 2020(Calculate from ARFY21/Ratestar)</t>
  </si>
  <si>
    <t>PAT 2020 (FY21-AR)</t>
  </si>
  <si>
    <t>CMP (As on 31st March FY22 &amp; FY23)</t>
  </si>
  <si>
    <t>FY24</t>
  </si>
  <si>
    <t>Right of Use Asset</t>
  </si>
  <si>
    <t>Lease Liability</t>
  </si>
  <si>
    <t>Goodwill on Consolidation</t>
  </si>
  <si>
    <t>Particulars</t>
  </si>
  <si>
    <t>Year ended on 30-09-2024 (Unaudited)</t>
  </si>
  <si>
    <t>Year ended on 31-03-2024 (Audited)</t>
  </si>
  <si>
    <t>Non-current assets</t>
  </si>
  <si>
    <t>Property, plant and equipment</t>
  </si>
  <si>
    <t>Right of Use Assets</t>
  </si>
  <si>
    <t>Capital work-in-progress</t>
  </si>
  <si>
    <t>Other intangible assets</t>
  </si>
  <si>
    <t>Investments</t>
  </si>
  <si>
    <t>- Investment</t>
  </si>
  <si>
    <t>- Trade receivables</t>
  </si>
  <si>
    <t>- Loans</t>
  </si>
  <si>
    <t>- Other financial assets</t>
  </si>
  <si>
    <t>Deferred tax assets (net)</t>
  </si>
  <si>
    <t>Other non-current assets</t>
  </si>
  <si>
    <t>Total non-current assets</t>
  </si>
  <si>
    <t>Current assets</t>
  </si>
  <si>
    <t>- Investments</t>
  </si>
  <si>
    <t>- Cash and cash equivalents</t>
  </si>
  <si>
    <t>- Bank balance other than cash and cash equivalents</t>
  </si>
  <si>
    <t>Current tax assets (net)</t>
  </si>
  <si>
    <t>Other current assets</t>
  </si>
  <si>
    <t>Total current assets</t>
  </si>
  <si>
    <t>Total assets</t>
  </si>
  <si>
    <t>Equity and liabilities</t>
  </si>
  <si>
    <t>Equity share capital</t>
  </si>
  <si>
    <t>Other equity</t>
  </si>
  <si>
    <t>Total equity attributable to owners of the company</t>
  </si>
  <si>
    <t>Non-controlling interest</t>
  </si>
  <si>
    <t>Total equity</t>
  </si>
  <si>
    <t>Non-current liabilities</t>
  </si>
  <si>
    <t>Borrowings</t>
  </si>
  <si>
    <t>Lease Liabilities</t>
  </si>
  <si>
    <t>Trade payables - Towards Others</t>
  </si>
  <si>
    <t>Trade payables - Towards MSMEs</t>
  </si>
  <si>
    <t>Other financial liabilities</t>
  </si>
  <si>
    <t>Deferred tax liabilities (net)</t>
  </si>
  <si>
    <t>Total non-current liabilities</t>
  </si>
  <si>
    <t>Current liabilities</t>
  </si>
  <si>
    <t>Other current liabilities</t>
  </si>
  <si>
    <t>Current tax liabilities (Net)</t>
  </si>
  <si>
    <t>Total current liabilities</t>
  </si>
  <si>
    <t>Total equity and liabilities</t>
  </si>
  <si>
    <t xml:space="preserve"> FY25</t>
  </si>
  <si>
    <t>FY25</t>
  </si>
  <si>
    <t>Q1-FY26</t>
  </si>
  <si>
    <t>Cost of materials consumed</t>
  </si>
  <si>
    <t>TTM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</si>
</sst>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  <numFmt numFmtId="169" formatCode="_ * #,##0.000000_ ;_ * \-#,##0.000000_ ;_ * &quot;-&quot;??_ ;_ @_ "/>
    <numFmt numFmtId="170" formatCode="#,##0.0"/>
  </numFmts>
  <fonts count="23">
    <font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sz val="9"/>
      <color theme="0"/>
      <name val="Arial"/>
      <family val="2"/>
    </font>
    <font>
      <sz val="10"/>
      <color rgb="FF000000"/>
      <name val="MyFirstFont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</cellStyleXfs>
  <cellXfs count="235">
    <xf numFmtId="0" fontId="0" fillId="0" borderId="0" xfId="0"/>
    <xf numFmtId="165" fontId="4" fillId="0" borderId="1" xfId="0" applyNumberFormat="1" applyFont="1" applyBorder="1"/>
    <xf numFmtId="0" fontId="4" fillId="0" borderId="0" xfId="0" applyFont="1"/>
    <xf numFmtId="165" fontId="4" fillId="0" borderId="0" xfId="0" applyNumberFormat="1" applyFont="1"/>
    <xf numFmtId="0" fontId="5" fillId="0" borderId="1" xfId="0" applyFon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0" fontId="4" fillId="0" borderId="1" xfId="0" applyFont="1" applyBorder="1"/>
    <xf numFmtId="10" fontId="4" fillId="4" borderId="1" xfId="1" applyNumberFormat="1" applyFont="1" applyFill="1" applyBorder="1"/>
    <xf numFmtId="43" fontId="4" fillId="0" borderId="1" xfId="2" applyFont="1" applyFill="1" applyBorder="1"/>
    <xf numFmtId="168" fontId="5" fillId="0" borderId="1" xfId="2" applyNumberFormat="1" applyFont="1" applyFill="1" applyBorder="1"/>
    <xf numFmtId="168" fontId="5" fillId="4" borderId="1" xfId="2" applyNumberFormat="1" applyFont="1" applyFill="1" applyBorder="1"/>
    <xf numFmtId="168" fontId="4" fillId="0" borderId="1" xfId="2" applyNumberFormat="1" applyFont="1" applyBorder="1"/>
    <xf numFmtId="10" fontId="6" fillId="4" borderId="1" xfId="0" applyNumberFormat="1" applyFont="1" applyFill="1" applyBorder="1"/>
    <xf numFmtId="43" fontId="5" fillId="0" borderId="1" xfId="2" applyFont="1" applyFill="1" applyBorder="1"/>
    <xf numFmtId="168" fontId="4" fillId="4" borderId="1" xfId="2" applyNumberFormat="1" applyFont="1" applyFill="1" applyBorder="1"/>
    <xf numFmtId="167" fontId="4" fillId="0" borderId="1" xfId="2" applyNumberFormat="1" applyFont="1" applyFill="1" applyBorder="1"/>
    <xf numFmtId="1" fontId="4" fillId="4" borderId="1" xfId="0" applyNumberFormat="1" applyFont="1" applyFill="1" applyBorder="1"/>
    <xf numFmtId="0" fontId="5" fillId="0" borderId="1" xfId="0" applyFont="1" applyBorder="1" applyAlignment="1">
      <alignment horizontal="center"/>
    </xf>
    <xf numFmtId="168" fontId="5" fillId="4" borderId="3" xfId="2" applyNumberFormat="1" applyFont="1" applyFill="1" applyBorder="1"/>
    <xf numFmtId="0" fontId="5" fillId="0" borderId="0" xfId="0" applyFont="1"/>
    <xf numFmtId="0" fontId="5" fillId="0" borderId="1" xfId="0" applyFont="1" applyBorder="1"/>
    <xf numFmtId="168" fontId="5" fillId="0" borderId="1" xfId="2" applyNumberFormat="1" applyFont="1" applyBorder="1"/>
    <xf numFmtId="10" fontId="4" fillId="0" borderId="0" xfId="1" applyNumberFormat="1" applyFont="1"/>
    <xf numFmtId="168" fontId="4" fillId="0" borderId="3" xfId="2" applyNumberFormat="1" applyFont="1" applyBorder="1"/>
    <xf numFmtId="168" fontId="4" fillId="0" borderId="1" xfId="2" applyNumberFormat="1" applyFont="1" applyFill="1" applyBorder="1"/>
    <xf numFmtId="0" fontId="5" fillId="4" borderId="1" xfId="0" applyFont="1" applyFill="1" applyBorder="1"/>
    <xf numFmtId="0" fontId="6" fillId="4" borderId="1" xfId="0" applyFont="1" applyFill="1" applyBorder="1"/>
    <xf numFmtId="168" fontId="4" fillId="0" borderId="0" xfId="2" applyNumberFormat="1" applyFont="1"/>
    <xf numFmtId="168" fontId="4" fillId="0" borderId="2" xfId="2" applyNumberFormat="1" applyFont="1" applyBorder="1"/>
    <xf numFmtId="10" fontId="5" fillId="4" borderId="1" xfId="0" applyNumberFormat="1" applyFont="1" applyFill="1" applyBorder="1"/>
    <xf numFmtId="43" fontId="4" fillId="0" borderId="0" xfId="0" applyNumberFormat="1" applyFont="1"/>
    <xf numFmtId="10" fontId="5" fillId="4" borderId="1" xfId="1" applyNumberFormat="1" applyFont="1" applyFill="1" applyBorder="1"/>
    <xf numFmtId="165" fontId="5" fillId="4" borderId="1" xfId="0" applyNumberFormat="1" applyFont="1" applyFill="1" applyBorder="1"/>
    <xf numFmtId="0" fontId="4" fillId="4" borderId="1" xfId="0" applyFont="1" applyFill="1" applyBorder="1"/>
    <xf numFmtId="10" fontId="4" fillId="4" borderId="1" xfId="0" applyNumberFormat="1" applyFont="1" applyFill="1" applyBorder="1"/>
    <xf numFmtId="166" fontId="4" fillId="4" borderId="1" xfId="0" applyNumberFormat="1" applyFont="1" applyFill="1" applyBorder="1"/>
    <xf numFmtId="168" fontId="5" fillId="0" borderId="3" xfId="2" applyNumberFormat="1" applyFont="1" applyFill="1" applyBorder="1"/>
    <xf numFmtId="0" fontId="9" fillId="0" borderId="0" xfId="0" applyFont="1"/>
    <xf numFmtId="0" fontId="5" fillId="3" borderId="1" xfId="0" applyFont="1" applyFill="1" applyBorder="1"/>
    <xf numFmtId="168" fontId="2" fillId="4" borderId="1" xfId="2" applyNumberFormat="1" applyFont="1" applyFill="1" applyBorder="1"/>
    <xf numFmtId="165" fontId="5" fillId="0" borderId="1" xfId="0" applyNumberFormat="1" applyFont="1" applyBorder="1"/>
    <xf numFmtId="43" fontId="5" fillId="0" borderId="1" xfId="2" applyFont="1" applyBorder="1"/>
    <xf numFmtId="43" fontId="5" fillId="4" borderId="1" xfId="2" applyFont="1" applyFill="1" applyBorder="1"/>
    <xf numFmtId="165" fontId="4" fillId="4" borderId="1" xfId="0" applyNumberFormat="1" applyFont="1" applyFill="1" applyBorder="1"/>
    <xf numFmtId="43" fontId="4" fillId="4" borderId="1" xfId="2" applyFont="1" applyFill="1" applyBorder="1"/>
    <xf numFmtId="166" fontId="4" fillId="0" borderId="1" xfId="0" applyNumberFormat="1" applyFont="1" applyBorder="1"/>
    <xf numFmtId="3" fontId="10" fillId="0" borderId="1" xfId="0" applyNumberFormat="1" applyFont="1" applyBorder="1"/>
    <xf numFmtId="2" fontId="4" fillId="4" borderId="1" xfId="0" applyNumberFormat="1" applyFont="1" applyFill="1" applyBorder="1"/>
    <xf numFmtId="164" fontId="4" fillId="0" borderId="0" xfId="0" applyNumberFormat="1" applyFont="1"/>
    <xf numFmtId="43" fontId="4" fillId="0" borderId="1" xfId="2" applyFont="1" applyBorder="1"/>
    <xf numFmtId="0" fontId="14" fillId="6" borderId="1" xfId="0" applyFont="1" applyFill="1" applyBorder="1" applyAlignment="1">
      <alignment horizontal="center"/>
    </xf>
    <xf numFmtId="0" fontId="11" fillId="0" borderId="1" xfId="0" applyFont="1" applyBorder="1"/>
    <xf numFmtId="0" fontId="11" fillId="7" borderId="1" xfId="0" applyFont="1" applyFill="1" applyBorder="1"/>
    <xf numFmtId="0" fontId="0" fillId="7" borderId="1" xfId="0" applyFill="1" applyBorder="1"/>
    <xf numFmtId="0" fontId="0" fillId="0" borderId="1" xfId="0" applyBorder="1"/>
    <xf numFmtId="1" fontId="0" fillId="0" borderId="1" xfId="0" applyNumberFormat="1" applyBorder="1"/>
    <xf numFmtId="10" fontId="3" fillId="0" borderId="1" xfId="1" applyNumberFormat="1" applyFont="1" applyFill="1" applyBorder="1"/>
    <xf numFmtId="0" fontId="0" fillId="0" borderId="1" xfId="0" applyBorder="1" applyAlignment="1">
      <alignment horizontal="right"/>
    </xf>
    <xf numFmtId="0" fontId="15" fillId="0" borderId="1" xfId="0" applyFont="1" applyBorder="1" applyAlignment="1">
      <alignment horizontal="right" vertical="center" wrapText="1"/>
    </xf>
    <xf numFmtId="2" fontId="0" fillId="0" borderId="1" xfId="0" applyNumberFormat="1" applyBorder="1"/>
    <xf numFmtId="10" fontId="0" fillId="0" borderId="1" xfId="0" applyNumberFormat="1" applyBorder="1"/>
    <xf numFmtId="2" fontId="3" fillId="0" borderId="1" xfId="1" applyNumberFormat="1" applyFont="1" applyFill="1" applyBorder="1"/>
    <xf numFmtId="2" fontId="3" fillId="0" borderId="1" xfId="2" applyNumberFormat="1" applyFont="1" applyFill="1" applyBorder="1"/>
    <xf numFmtId="10" fontId="0" fillId="0" borderId="1" xfId="1" applyNumberFormat="1" applyFont="1" applyFill="1" applyBorder="1"/>
    <xf numFmtId="1" fontId="0" fillId="0" borderId="0" xfId="0" applyNumberFormat="1"/>
    <xf numFmtId="1" fontId="0" fillId="0" borderId="1" xfId="2" applyNumberFormat="1" applyFont="1" applyFill="1" applyBorder="1"/>
    <xf numFmtId="2" fontId="0" fillId="0" borderId="1" xfId="2" applyNumberFormat="1" applyFont="1" applyFill="1" applyBorder="1"/>
    <xf numFmtId="2" fontId="3" fillId="0" borderId="0" xfId="2" applyNumberFormat="1" applyFont="1" applyFill="1" applyBorder="1"/>
    <xf numFmtId="1" fontId="0" fillId="4" borderId="1" xfId="0" applyNumberFormat="1" applyFill="1" applyBorder="1"/>
    <xf numFmtId="10" fontId="16" fillId="0" borderId="1" xfId="0" applyNumberFormat="1" applyFont="1" applyBorder="1"/>
    <xf numFmtId="10" fontId="3" fillId="4" borderId="1" xfId="1" applyNumberFormat="1" applyFont="1" applyFill="1" applyBorder="1"/>
    <xf numFmtId="10" fontId="0" fillId="4" borderId="1" xfId="0" applyNumberFormat="1" applyFill="1" applyBorder="1"/>
    <xf numFmtId="2" fontId="0" fillId="4" borderId="1" xfId="0" applyNumberFormat="1" applyFill="1" applyBorder="1"/>
    <xf numFmtId="2" fontId="0" fillId="8" borderId="1" xfId="0" applyNumberFormat="1" applyFill="1" applyBorder="1"/>
    <xf numFmtId="10" fontId="3" fillId="8" borderId="1" xfId="1" applyNumberFormat="1" applyFont="1" applyFill="1" applyBorder="1"/>
    <xf numFmtId="2" fontId="3" fillId="4" borderId="1" xfId="1" applyNumberFormat="1" applyFont="1" applyFill="1" applyBorder="1"/>
    <xf numFmtId="1" fontId="0" fillId="8" borderId="1" xfId="2" applyNumberFormat="1" applyFont="1" applyFill="1" applyBorder="1"/>
    <xf numFmtId="1" fontId="0" fillId="4" borderId="1" xfId="2" applyNumberFormat="1" applyFont="1" applyFill="1" applyBorder="1"/>
    <xf numFmtId="2" fontId="3" fillId="8" borderId="1" xfId="2" applyNumberFormat="1" applyFont="1" applyFill="1" applyBorder="1"/>
    <xf numFmtId="2" fontId="0" fillId="4" borderId="1" xfId="2" applyNumberFormat="1" applyFont="1" applyFill="1" applyBorder="1"/>
    <xf numFmtId="10" fontId="0" fillId="8" borderId="1" xfId="1" applyNumberFormat="1" applyFont="1" applyFill="1" applyBorder="1"/>
    <xf numFmtId="0" fontId="17" fillId="0" borderId="9" xfId="0" applyFont="1" applyBorder="1"/>
    <xf numFmtId="0" fontId="0" fillId="4" borderId="1" xfId="0" applyFill="1" applyBorder="1"/>
    <xf numFmtId="0" fontId="5" fillId="7" borderId="0" xfId="0" applyFont="1" applyFill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168" fontId="4" fillId="0" borderId="0" xfId="2" applyNumberFormat="1" applyFont="1" applyFill="1" applyBorder="1"/>
    <xf numFmtId="168" fontId="5" fillId="0" borderId="0" xfId="2" applyNumberFormat="1" applyFont="1" applyFill="1" applyBorder="1"/>
    <xf numFmtId="43" fontId="5" fillId="4" borderId="3" xfId="2" applyFont="1" applyFill="1" applyBorder="1"/>
    <xf numFmtId="43" fontId="4" fillId="4" borderId="3" xfId="2" applyFont="1" applyFill="1" applyBorder="1"/>
    <xf numFmtId="10" fontId="4" fillId="4" borderId="3" xfId="0" applyNumberFormat="1" applyFont="1" applyFill="1" applyBorder="1"/>
    <xf numFmtId="2" fontId="4" fillId="4" borderId="3" xfId="0" applyNumberFormat="1" applyFont="1" applyFill="1" applyBorder="1"/>
    <xf numFmtId="10" fontId="4" fillId="4" borderId="3" xfId="1" applyNumberFormat="1" applyFont="1" applyFill="1" applyBorder="1"/>
    <xf numFmtId="1" fontId="4" fillId="4" borderId="3" xfId="0" applyNumberFormat="1" applyFont="1" applyFill="1" applyBorder="1"/>
    <xf numFmtId="43" fontId="4" fillId="0" borderId="3" xfId="2" applyFont="1" applyBorder="1"/>
    <xf numFmtId="10" fontId="3" fillId="9" borderId="1" xfId="1" applyNumberFormat="1" applyFont="1" applyFill="1" applyBorder="1"/>
    <xf numFmtId="0" fontId="0" fillId="8" borderId="1" xfId="0" applyFill="1" applyBorder="1"/>
    <xf numFmtId="1" fontId="0" fillId="9" borderId="1" xfId="2" applyNumberFormat="1" applyFont="1" applyFill="1" applyBorder="1"/>
    <xf numFmtId="0" fontId="0" fillId="0" borderId="10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4" fontId="0" fillId="0" borderId="14" xfId="0" applyNumberFormat="1" applyBorder="1" applyAlignment="1">
      <alignment horizontal="right" wrapText="1"/>
    </xf>
    <xf numFmtId="3" fontId="0" fillId="0" borderId="14" xfId="0" applyNumberFormat="1" applyBorder="1" applyAlignment="1">
      <alignment horizontal="right" wrapText="1"/>
    </xf>
    <xf numFmtId="4" fontId="0" fillId="0" borderId="14" xfId="0" applyNumberFormat="1" applyBorder="1" applyAlignment="1">
      <alignment horizontal="right" vertical="top" wrapText="1"/>
    </xf>
    <xf numFmtId="4" fontId="0" fillId="0" borderId="15" xfId="0" applyNumberFormat="1" applyBorder="1" applyAlignment="1">
      <alignment horizontal="right" vertical="top" wrapText="1"/>
    </xf>
    <xf numFmtId="10" fontId="0" fillId="0" borderId="14" xfId="0" applyNumberFormat="1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10" fontId="0" fillId="0" borderId="14" xfId="0" applyNumberFormat="1" applyBorder="1" applyAlignment="1">
      <alignment wrapText="1"/>
    </xf>
    <xf numFmtId="0" fontId="0" fillId="4" borderId="14" xfId="0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3" fontId="0" fillId="4" borderId="14" xfId="0" applyNumberFormat="1" applyFill="1" applyBorder="1" applyAlignment="1">
      <alignment horizontal="right" wrapText="1"/>
    </xf>
    <xf numFmtId="9" fontId="0" fillId="0" borderId="14" xfId="0" applyNumberFormat="1" applyBorder="1" applyAlignment="1">
      <alignment horizontal="right" wrapText="1"/>
    </xf>
    <xf numFmtId="0" fontId="11" fillId="0" borderId="19" xfId="0" applyFont="1" applyBorder="1" applyAlignment="1">
      <alignment horizontal="center" wrapText="1"/>
    </xf>
    <xf numFmtId="0" fontId="0" fillId="0" borderId="21" xfId="0" applyBorder="1"/>
    <xf numFmtId="0" fontId="11" fillId="0" borderId="20" xfId="0" applyFont="1" applyBorder="1"/>
    <xf numFmtId="0" fontId="0" fillId="0" borderId="9" xfId="0" applyBorder="1"/>
    <xf numFmtId="165" fontId="3" fillId="0" borderId="1" xfId="0" applyNumberFormat="1" applyFont="1" applyBorder="1"/>
    <xf numFmtId="10" fontId="6" fillId="0" borderId="0" xfId="0" applyNumberFormat="1" applyFont="1"/>
    <xf numFmtId="168" fontId="3" fillId="0" borderId="1" xfId="0" applyNumberFormat="1" applyFont="1" applyBorder="1"/>
    <xf numFmtId="168" fontId="4" fillId="0" borderId="1" xfId="0" applyNumberFormat="1" applyFont="1" applyBorder="1"/>
    <xf numFmtId="165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5" fontId="5" fillId="0" borderId="1" xfId="0" applyNumberFormat="1" applyFont="1" applyBorder="1" applyAlignment="1">
      <alignment horizontal="right"/>
    </xf>
    <xf numFmtId="2" fontId="4" fillId="0" borderId="1" xfId="0" applyNumberFormat="1" applyFont="1" applyBorder="1"/>
    <xf numFmtId="168" fontId="2" fillId="0" borderId="1" xfId="2" applyNumberFormat="1" applyFont="1" applyFill="1" applyBorder="1"/>
    <xf numFmtId="168" fontId="4" fillId="0" borderId="3" xfId="2" applyNumberFormat="1" applyFont="1" applyFill="1" applyBorder="1"/>
    <xf numFmtId="168" fontId="1" fillId="0" borderId="1" xfId="2" applyNumberFormat="1" applyFont="1" applyFill="1" applyBorder="1"/>
    <xf numFmtId="43" fontId="18" fillId="4" borderId="1" xfId="2" applyFont="1" applyFill="1" applyBorder="1"/>
    <xf numFmtId="43" fontId="19" fillId="0" borderId="1" xfId="2" applyFont="1" applyFill="1" applyBorder="1"/>
    <xf numFmtId="0" fontId="12" fillId="2" borderId="0" xfId="0" applyFont="1" applyFill="1" applyAlignment="1">
      <alignment horizontal="center" vertical="center"/>
    </xf>
    <xf numFmtId="0" fontId="20" fillId="0" borderId="0" xfId="0" applyFont="1"/>
    <xf numFmtId="0" fontId="21" fillId="0" borderId="6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/>
    <xf numFmtId="0" fontId="20" fillId="0" borderId="9" xfId="0" applyFont="1" applyBorder="1"/>
    <xf numFmtId="0" fontId="20" fillId="0" borderId="22" xfId="0" applyFont="1" applyBorder="1"/>
    <xf numFmtId="0" fontId="22" fillId="0" borderId="9" xfId="0" applyFont="1" applyBorder="1"/>
    <xf numFmtId="43" fontId="20" fillId="0" borderId="9" xfId="4" applyFont="1" applyFill="1" applyBorder="1"/>
    <xf numFmtId="43" fontId="20" fillId="0" borderId="9" xfId="4" applyFont="1" applyBorder="1"/>
    <xf numFmtId="43" fontId="20" fillId="0" borderId="22" xfId="4" applyFont="1" applyBorder="1"/>
    <xf numFmtId="0" fontId="21" fillId="0" borderId="0" xfId="0" applyFont="1"/>
    <xf numFmtId="2" fontId="20" fillId="0" borderId="9" xfId="0" applyNumberFormat="1" applyFont="1" applyBorder="1" applyAlignment="1">
      <alignment horizontal="right"/>
    </xf>
    <xf numFmtId="43" fontId="20" fillId="0" borderId="9" xfId="4" applyFont="1" applyBorder="1" applyAlignment="1">
      <alignment horizontal="right"/>
    </xf>
    <xf numFmtId="0" fontId="20" fillId="10" borderId="0" xfId="0" applyFont="1" applyFill="1"/>
    <xf numFmtId="10" fontId="20" fillId="0" borderId="9" xfId="1" applyNumberFormat="1" applyFont="1" applyFill="1" applyBorder="1"/>
    <xf numFmtId="0" fontId="20" fillId="8" borderId="0" xfId="0" applyFont="1" applyFill="1"/>
    <xf numFmtId="0" fontId="20" fillId="4" borderId="0" xfId="0" applyFont="1" applyFill="1"/>
    <xf numFmtId="167" fontId="20" fillId="0" borderId="22" xfId="4" applyNumberFormat="1" applyFont="1" applyBorder="1"/>
    <xf numFmtId="3" fontId="20" fillId="0" borderId="0" xfId="0" applyNumberFormat="1" applyFont="1"/>
    <xf numFmtId="167" fontId="20" fillId="0" borderId="9" xfId="4" applyNumberFormat="1" applyFont="1" applyFill="1" applyBorder="1"/>
    <xf numFmtId="43" fontId="20" fillId="0" borderId="9" xfId="0" applyNumberFormat="1" applyFont="1" applyBorder="1"/>
    <xf numFmtId="43" fontId="20" fillId="4" borderId="22" xfId="4" applyFont="1" applyFill="1" applyBorder="1"/>
    <xf numFmtId="2" fontId="20" fillId="0" borderId="9" xfId="0" applyNumberFormat="1" applyFont="1" applyBorder="1"/>
    <xf numFmtId="2" fontId="20" fillId="0" borderId="9" xfId="1" applyNumberFormat="1" applyFont="1" applyFill="1" applyBorder="1"/>
    <xf numFmtId="0" fontId="20" fillId="0" borderId="9" xfId="4" applyNumberFormat="1" applyFont="1" applyFill="1" applyBorder="1"/>
    <xf numFmtId="167" fontId="20" fillId="0" borderId="9" xfId="1" applyNumberFormat="1" applyFont="1" applyFill="1" applyBorder="1"/>
    <xf numFmtId="43" fontId="20" fillId="0" borderId="9" xfId="1" applyNumberFormat="1" applyFont="1" applyFill="1" applyBorder="1"/>
    <xf numFmtId="2" fontId="20" fillId="0" borderId="4" xfId="1" applyNumberFormat="1" applyFont="1" applyFill="1" applyBorder="1"/>
    <xf numFmtId="2" fontId="20" fillId="0" borderId="9" xfId="4" applyNumberFormat="1" applyFont="1" applyBorder="1"/>
    <xf numFmtId="2" fontId="20" fillId="0" borderId="22" xfId="4" applyNumberFormat="1" applyFont="1" applyBorder="1"/>
    <xf numFmtId="2" fontId="20" fillId="0" borderId="9" xfId="1" applyNumberFormat="1" applyFont="1" applyBorder="1"/>
    <xf numFmtId="0" fontId="20" fillId="0" borderId="2" xfId="0" applyFont="1" applyBorder="1"/>
    <xf numFmtId="10" fontId="20" fillId="0" borderId="2" xfId="1" applyNumberFormat="1" applyFont="1" applyFill="1" applyBorder="1"/>
    <xf numFmtId="169" fontId="20" fillId="0" borderId="0" xfId="0" applyNumberFormat="1" applyFont="1"/>
    <xf numFmtId="165" fontId="4" fillId="0" borderId="3" xfId="0" applyNumberFormat="1" applyFont="1" applyBorder="1"/>
    <xf numFmtId="0" fontId="4" fillId="0" borderId="3" xfId="0" applyFont="1" applyBorder="1"/>
    <xf numFmtId="168" fontId="4" fillId="0" borderId="3" xfId="0" applyNumberFormat="1" applyFont="1" applyBorder="1"/>
    <xf numFmtId="0" fontId="0" fillId="0" borderId="3" xfId="0" applyBorder="1"/>
    <xf numFmtId="0" fontId="5" fillId="0" borderId="3" xfId="0" applyFont="1" applyBorder="1" applyAlignment="1">
      <alignment horizontal="right"/>
    </xf>
    <xf numFmtId="170" fontId="5" fillId="0" borderId="1" xfId="0" applyNumberFormat="1" applyFont="1" applyBorder="1"/>
    <xf numFmtId="168" fontId="4" fillId="0" borderId="8" xfId="2" applyNumberFormat="1" applyFont="1" applyFill="1" applyBorder="1"/>
    <xf numFmtId="168" fontId="4" fillId="0" borderId="8" xfId="2" applyNumberFormat="1" applyFont="1" applyBorder="1"/>
    <xf numFmtId="0" fontId="5" fillId="0" borderId="3" xfId="0" applyFont="1" applyBorder="1"/>
    <xf numFmtId="43" fontId="4" fillId="0" borderId="3" xfId="2" applyFont="1" applyFill="1" applyBorder="1"/>
    <xf numFmtId="0" fontId="11" fillId="0" borderId="1" xfId="0" applyFont="1" applyBorder="1" applyAlignment="1">
      <alignment horizontal="center"/>
    </xf>
    <xf numFmtId="10" fontId="6" fillId="4" borderId="1" xfId="0" applyNumberFormat="1" applyFont="1" applyFill="1" applyBorder="1" applyAlignment="1">
      <alignment horizontal="right"/>
    </xf>
    <xf numFmtId="165" fontId="0" fillId="0" borderId="1" xfId="0" applyNumberFormat="1" applyBorder="1"/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0" borderId="0" xfId="0" applyNumberFormat="1"/>
    <xf numFmtId="4" fontId="11" fillId="0" borderId="0" xfId="0" applyNumberFormat="1" applyFont="1"/>
    <xf numFmtId="4" fontId="11" fillId="0" borderId="0" xfId="0" applyNumberFormat="1" applyFont="1" applyAlignment="1">
      <alignment vertical="center" wrapText="1"/>
    </xf>
    <xf numFmtId="4" fontId="4" fillId="0" borderId="0" xfId="0" applyNumberFormat="1" applyFont="1"/>
    <xf numFmtId="0" fontId="5" fillId="7" borderId="1" xfId="0" applyFont="1" applyFill="1" applyBorder="1" applyAlignment="1">
      <alignment horizontal="center"/>
    </xf>
    <xf numFmtId="168" fontId="4" fillId="7" borderId="1" xfId="2" applyNumberFormat="1" applyFont="1" applyFill="1" applyBorder="1"/>
    <xf numFmtId="168" fontId="5" fillId="7" borderId="1" xfId="2" applyNumberFormat="1" applyFont="1" applyFill="1" applyBorder="1"/>
    <xf numFmtId="43" fontId="4" fillId="4" borderId="1" xfId="2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10" fontId="4" fillId="4" borderId="1" xfId="0" applyNumberFormat="1" applyFont="1" applyFill="1" applyBorder="1" applyAlignment="1">
      <alignment horizontal="right"/>
    </xf>
    <xf numFmtId="2" fontId="4" fillId="4" borderId="1" xfId="0" applyNumberFormat="1" applyFont="1" applyFill="1" applyBorder="1" applyAlignment="1">
      <alignment horizontal="right"/>
    </xf>
    <xf numFmtId="10" fontId="4" fillId="4" borderId="1" xfId="1" applyNumberFormat="1" applyFont="1" applyFill="1" applyBorder="1" applyAlignment="1">
      <alignment horizontal="right"/>
    </xf>
    <xf numFmtId="1" fontId="4" fillId="4" borderId="1" xfId="0" applyNumberFormat="1" applyFont="1" applyFill="1" applyBorder="1" applyAlignment="1">
      <alignment horizontal="right"/>
    </xf>
    <xf numFmtId="1" fontId="4" fillId="4" borderId="3" xfId="0" applyNumberFormat="1" applyFont="1" applyFill="1" applyBorder="1" applyAlignment="1">
      <alignment horizontal="right"/>
    </xf>
    <xf numFmtId="10" fontId="4" fillId="4" borderId="3" xfId="1" applyNumberFormat="1" applyFont="1" applyFill="1" applyBorder="1" applyAlignment="1">
      <alignment horizontal="right"/>
    </xf>
    <xf numFmtId="43" fontId="4" fillId="0" borderId="3" xfId="2" applyFont="1" applyFill="1" applyBorder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3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left"/>
    </xf>
    <xf numFmtId="0" fontId="14" fillId="7" borderId="7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center"/>
    </xf>
    <xf numFmtId="0" fontId="11" fillId="0" borderId="16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68" fontId="4" fillId="4" borderId="3" xfId="2" applyNumberFormat="1" applyFont="1" applyFill="1" applyBorder="1"/>
    <xf numFmtId="43" fontId="19" fillId="0" borderId="3" xfId="2" applyFont="1" applyFill="1" applyBorder="1"/>
    <xf numFmtId="43" fontId="18" fillId="4" borderId="3" xfId="2" applyFont="1" applyFill="1" applyBorder="1"/>
    <xf numFmtId="0" fontId="9" fillId="0" borderId="1" xfId="0" applyFont="1" applyBorder="1"/>
  </cellXfs>
  <cellStyles count="5">
    <cellStyle name="Comma" xfId="2" builtinId="3"/>
    <cellStyle name="Comma 2" xfId="4" xr:uid="{00000000-0005-0000-0000-000001000000}"/>
    <cellStyle name="Normal" xfId="0" builtinId="0"/>
    <cellStyle name="Percent" xfId="1" builtinId="5"/>
    <cellStyle name="Style 1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93"/>
  <sheetViews>
    <sheetView tabSelected="1" showWhiteSpace="0" topLeftCell="O1" zoomScale="93" zoomScaleNormal="93" zoomScalePageLayoutView="55" workbookViewId="0">
      <selection activeCell="AD62" sqref="AD62"/>
    </sheetView>
  </sheetViews>
  <sheetFormatPr defaultColWidth="9.1796875" defaultRowHeight="11.5"/>
  <cols>
    <col min="1" max="1" width="38.1796875" style="2" customWidth="1"/>
    <col min="2" max="4" width="14.1796875" style="2" hidden="1" customWidth="1"/>
    <col min="5" max="5" width="2.7265625" style="2" hidden="1" customWidth="1"/>
    <col min="6" max="8" width="14.1796875" style="2" customWidth="1"/>
    <col min="9" max="9" width="14.1796875" style="2" hidden="1" customWidth="1"/>
    <col min="10" max="12" width="14.1796875" style="2" customWidth="1"/>
    <col min="13" max="13" width="16.26953125" style="2" bestFit="1" customWidth="1"/>
    <col min="14" max="15" width="14.1796875" style="2" customWidth="1"/>
    <col min="16" max="16" width="6.453125" style="2" bestFit="1" customWidth="1"/>
    <col min="17" max="17" width="36.7265625" style="2" customWidth="1"/>
    <col min="18" max="18" width="13.81640625" style="2" hidden="1" customWidth="1"/>
    <col min="19" max="19" width="10.54296875" style="2" hidden="1" customWidth="1"/>
    <col min="20" max="20" width="13.81640625" style="2" hidden="1" customWidth="1"/>
    <col min="21" max="21" width="11.7265625" style="2" hidden="1" customWidth="1"/>
    <col min="22" max="22" width="11.7265625" style="3" customWidth="1"/>
    <col min="23" max="24" width="11.7265625" style="2" customWidth="1"/>
    <col min="25" max="25" width="10.7265625" style="2" hidden="1" customWidth="1"/>
    <col min="26" max="26" width="12" style="2" customWidth="1"/>
    <col min="27" max="27" width="11.81640625" style="2" customWidth="1"/>
    <col min="28" max="29" width="11.26953125" style="2" customWidth="1"/>
    <col min="30" max="30" width="12.1796875" style="2" customWidth="1"/>
    <col min="31" max="31" width="8.7265625" style="2" bestFit="1" customWidth="1"/>
    <col min="32" max="16384" width="9.1796875" style="2"/>
  </cols>
  <sheetData>
    <row r="1" spans="1:30" ht="14">
      <c r="A1" s="204" t="s">
        <v>76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130"/>
    </row>
    <row r="2" spans="1:30" ht="11.5" customHeight="1">
      <c r="A2" s="202" t="s">
        <v>74</v>
      </c>
      <c r="B2" s="203"/>
      <c r="C2" s="203"/>
      <c r="D2" s="203"/>
      <c r="E2" s="203"/>
      <c r="F2" s="203"/>
      <c r="G2" s="203"/>
      <c r="H2" s="203"/>
      <c r="I2" s="203"/>
      <c r="J2" s="85"/>
      <c r="K2" s="85"/>
      <c r="L2" s="85"/>
      <c r="M2" s="85"/>
      <c r="N2" s="85"/>
      <c r="O2" s="85"/>
      <c r="P2" s="19"/>
      <c r="Q2" s="202" t="s">
        <v>73</v>
      </c>
      <c r="R2" s="203"/>
      <c r="S2" s="203"/>
      <c r="T2" s="203"/>
      <c r="U2" s="203"/>
      <c r="V2" s="203"/>
      <c r="W2" s="203"/>
      <c r="X2" s="203"/>
    </row>
    <row r="3" spans="1:30">
      <c r="A3" s="20" t="s">
        <v>0</v>
      </c>
      <c r="B3" s="17" t="s">
        <v>22</v>
      </c>
      <c r="C3" s="17" t="s">
        <v>23</v>
      </c>
      <c r="D3" s="17" t="s">
        <v>24</v>
      </c>
      <c r="E3" s="17" t="s">
        <v>25</v>
      </c>
      <c r="F3" s="17" t="s">
        <v>68</v>
      </c>
      <c r="G3" s="17" t="s">
        <v>75</v>
      </c>
      <c r="H3" s="17" t="s">
        <v>117</v>
      </c>
      <c r="I3" s="17" t="s">
        <v>181</v>
      </c>
      <c r="J3" s="17" t="s">
        <v>183</v>
      </c>
      <c r="K3" s="17" t="s">
        <v>205</v>
      </c>
      <c r="L3" s="17" t="s">
        <v>255</v>
      </c>
      <c r="M3" s="17" t="s">
        <v>260</v>
      </c>
      <c r="N3" s="17" t="s">
        <v>308</v>
      </c>
      <c r="O3" s="17" t="s">
        <v>309</v>
      </c>
      <c r="P3" s="19"/>
      <c r="Q3" s="20" t="s">
        <v>0</v>
      </c>
      <c r="R3" s="4" t="s">
        <v>22</v>
      </c>
      <c r="S3" s="4" t="s">
        <v>23</v>
      </c>
      <c r="T3" s="4" t="s">
        <v>24</v>
      </c>
      <c r="U3" s="5" t="s">
        <v>25</v>
      </c>
      <c r="V3" s="5" t="s">
        <v>68</v>
      </c>
      <c r="W3" s="5" t="s">
        <v>75</v>
      </c>
      <c r="X3" s="5" t="s">
        <v>117</v>
      </c>
      <c r="Y3" s="5" t="s">
        <v>180</v>
      </c>
      <c r="Z3" s="5" t="s">
        <v>183</v>
      </c>
      <c r="AA3" s="123" t="s">
        <v>205</v>
      </c>
      <c r="AB3" s="84" t="s">
        <v>255</v>
      </c>
      <c r="AC3" s="17" t="s">
        <v>260</v>
      </c>
      <c r="AD3" s="17" t="s">
        <v>307</v>
      </c>
    </row>
    <row r="4" spans="1:30">
      <c r="A4" s="20" t="s">
        <v>77</v>
      </c>
      <c r="B4" s="21">
        <v>6912.23</v>
      </c>
      <c r="C4" s="21">
        <v>9307.8670000000002</v>
      </c>
      <c r="D4" s="21">
        <v>10329.472</v>
      </c>
      <c r="E4" s="21">
        <v>11982.502</v>
      </c>
      <c r="F4" s="9">
        <v>11351.683000000001</v>
      </c>
      <c r="G4" s="9">
        <v>13938.288</v>
      </c>
      <c r="H4" s="9">
        <v>13053.88</v>
      </c>
      <c r="I4" s="9">
        <v>5941.3119999999999</v>
      </c>
      <c r="J4" s="9">
        <v>9570.2860000000001</v>
      </c>
      <c r="K4" s="9">
        <v>14969.14</v>
      </c>
      <c r="L4" s="170">
        <f>94506.58/10</f>
        <v>9450.6579999999994</v>
      </c>
      <c r="M4" s="170">
        <v>9492.1270000000004</v>
      </c>
      <c r="N4" s="170">
        <v>7400.2610000000004</v>
      </c>
      <c r="O4" s="170">
        <v>2021.2059999999999</v>
      </c>
      <c r="P4" s="22"/>
      <c r="Q4" s="6" t="s">
        <v>78</v>
      </c>
      <c r="R4" s="11">
        <v>190.001</v>
      </c>
      <c r="S4" s="11">
        <v>270.58600000000001</v>
      </c>
      <c r="T4" s="11">
        <v>308.83499999999998</v>
      </c>
      <c r="U4" s="11">
        <v>278.44</v>
      </c>
      <c r="V4" s="23">
        <v>302.44</v>
      </c>
      <c r="W4" s="11">
        <v>313.44</v>
      </c>
      <c r="X4" s="11">
        <v>336.20600000000002</v>
      </c>
      <c r="Y4" s="11">
        <v>336.20600000000002</v>
      </c>
      <c r="Z4" s="6">
        <v>336.2</v>
      </c>
      <c r="AA4" s="1">
        <v>518.34</v>
      </c>
      <c r="AB4" s="165">
        <v>518.34</v>
      </c>
      <c r="AC4" s="1">
        <f>5183.42/10</f>
        <v>518.34199999999998</v>
      </c>
      <c r="AD4" s="1">
        <v>556.29</v>
      </c>
    </row>
    <row r="5" spans="1:30">
      <c r="A5" s="6" t="s">
        <v>5</v>
      </c>
      <c r="B5" s="11">
        <v>8.9009999999999998</v>
      </c>
      <c r="C5" s="11">
        <v>19.731999999999999</v>
      </c>
      <c r="D5" s="11">
        <v>87.460999999999999</v>
      </c>
      <c r="E5" s="11">
        <v>24.800999999999998</v>
      </c>
      <c r="F5" s="24">
        <v>15.907999999999999</v>
      </c>
      <c r="G5" s="24">
        <v>26.753</v>
      </c>
      <c r="H5" s="24">
        <v>52.875</v>
      </c>
      <c r="I5" s="24">
        <v>17.859000000000002</v>
      </c>
      <c r="J5" s="24">
        <v>22.373000000000001</v>
      </c>
      <c r="K5" s="24">
        <v>19.84</v>
      </c>
      <c r="L5" s="1">
        <f>333.56/10</f>
        <v>33.356000000000002</v>
      </c>
      <c r="M5" s="1">
        <v>86.7</v>
      </c>
      <c r="N5" s="1">
        <v>1148.739</v>
      </c>
      <c r="O5" s="1">
        <v>347.65199999999999</v>
      </c>
      <c r="Q5" s="6" t="s">
        <v>79</v>
      </c>
      <c r="R5" s="11">
        <f>1578.376+28.845</f>
        <v>1607.221</v>
      </c>
      <c r="S5" s="11">
        <f>3696.368+510-2.574</f>
        <v>4203.7940000000008</v>
      </c>
      <c r="T5" s="11">
        <f>5982.328+175.984-22.025</f>
        <v>6136.2870000000012</v>
      </c>
      <c r="U5" s="11">
        <v>10046.382</v>
      </c>
      <c r="V5" s="23">
        <v>13744.59</v>
      </c>
      <c r="W5" s="11">
        <v>15359.853999999999</v>
      </c>
      <c r="X5" s="11">
        <v>18998.099999999999</v>
      </c>
      <c r="Y5" s="11">
        <v>19230.29</v>
      </c>
      <c r="Z5" s="1">
        <v>21508.240000000002</v>
      </c>
      <c r="AA5" s="1">
        <v>25208.06</v>
      </c>
      <c r="AB5" s="165">
        <f>262745.21/10</f>
        <v>26274.521000000001</v>
      </c>
      <c r="AC5" s="24">
        <f>275988.76/10</f>
        <v>27598.876</v>
      </c>
      <c r="AD5" s="24">
        <v>31910.04</v>
      </c>
    </row>
    <row r="6" spans="1:30">
      <c r="A6" s="25" t="s">
        <v>72</v>
      </c>
      <c r="B6" s="10">
        <f t="shared" ref="B6:G6" si="0">B4+B5</f>
        <v>6921.1309999999994</v>
      </c>
      <c r="C6" s="10">
        <f t="shared" si="0"/>
        <v>9327.5990000000002</v>
      </c>
      <c r="D6" s="10">
        <f t="shared" si="0"/>
        <v>10416.932999999999</v>
      </c>
      <c r="E6" s="10">
        <f t="shared" si="0"/>
        <v>12007.303</v>
      </c>
      <c r="F6" s="10">
        <f t="shared" si="0"/>
        <v>11367.591</v>
      </c>
      <c r="G6" s="10">
        <f t="shared" si="0"/>
        <v>13965.041000000001</v>
      </c>
      <c r="H6" s="10">
        <f t="shared" ref="H6:L6" si="1">H4+H5</f>
        <v>13106.754999999999</v>
      </c>
      <c r="I6" s="10">
        <f t="shared" si="1"/>
        <v>5959.1710000000003</v>
      </c>
      <c r="J6" s="10">
        <f t="shared" si="1"/>
        <v>9592.6589999999997</v>
      </c>
      <c r="K6" s="10">
        <f t="shared" si="1"/>
        <v>14988.98</v>
      </c>
      <c r="L6" s="10">
        <f t="shared" si="1"/>
        <v>9484.0139999999992</v>
      </c>
      <c r="M6" s="10">
        <f>M4+M5</f>
        <v>9578.8270000000011</v>
      </c>
      <c r="N6" s="10">
        <f>N4+N5</f>
        <v>8549</v>
      </c>
      <c r="O6" s="10">
        <f>O4+O5</f>
        <v>2368.8579999999997</v>
      </c>
      <c r="P6" s="48"/>
      <c r="Q6" s="25" t="s">
        <v>26</v>
      </c>
      <c r="R6" s="10">
        <f t="shared" ref="R6:W6" si="2">(R4+R5)</f>
        <v>1797.222</v>
      </c>
      <c r="S6" s="10">
        <f t="shared" si="2"/>
        <v>4474.380000000001</v>
      </c>
      <c r="T6" s="10">
        <f t="shared" si="2"/>
        <v>6445.1220000000012</v>
      </c>
      <c r="U6" s="10">
        <f t="shared" si="2"/>
        <v>10324.822</v>
      </c>
      <c r="V6" s="10">
        <f t="shared" si="2"/>
        <v>14047.03</v>
      </c>
      <c r="W6" s="10">
        <f t="shared" si="2"/>
        <v>15673.294</v>
      </c>
      <c r="X6" s="10">
        <f t="shared" ref="X6:AB6" si="3">(X4+X5)</f>
        <v>19334.305999999997</v>
      </c>
      <c r="Y6" s="10">
        <f t="shared" si="3"/>
        <v>19566.495999999999</v>
      </c>
      <c r="Z6" s="10">
        <f t="shared" si="3"/>
        <v>21844.440000000002</v>
      </c>
      <c r="AA6" s="10">
        <f t="shared" si="3"/>
        <v>25726.400000000001</v>
      </c>
      <c r="AB6" s="18">
        <f t="shared" si="3"/>
        <v>26792.861000000001</v>
      </c>
      <c r="AC6" s="10">
        <f>(AC4+AC5)</f>
        <v>28117.218000000001</v>
      </c>
      <c r="AD6" s="10">
        <f>(AD4+AD5)</f>
        <v>32466.33</v>
      </c>
    </row>
    <row r="7" spans="1:30" ht="12">
      <c r="A7" s="26" t="s">
        <v>1</v>
      </c>
      <c r="B7" s="12"/>
      <c r="C7" s="12">
        <f t="shared" ref="C7:H7" si="4">(C6/B6-1)</f>
        <v>0.34769866370106284</v>
      </c>
      <c r="D7" s="12">
        <f t="shared" si="4"/>
        <v>0.1167861096944669</v>
      </c>
      <c r="E7" s="12">
        <f t="shared" si="4"/>
        <v>0.15267161649210959</v>
      </c>
      <c r="F7" s="12">
        <f t="shared" si="4"/>
        <v>-5.327690989392031E-2</v>
      </c>
      <c r="G7" s="12">
        <f t="shared" si="4"/>
        <v>0.22849608153565693</v>
      </c>
      <c r="H7" s="12">
        <f t="shared" si="4"/>
        <v>-6.1459611898024624E-2</v>
      </c>
      <c r="I7" s="12">
        <f>(I6/H6-1)</f>
        <v>-0.54533589740557442</v>
      </c>
      <c r="J7" s="12">
        <f>(J6/H6-1)</f>
        <v>-0.26811335071114095</v>
      </c>
      <c r="K7" s="12">
        <f>(K6/J6-1)</f>
        <v>0.56254694344915213</v>
      </c>
      <c r="L7" s="12">
        <f>(L6/K6-1)</f>
        <v>-0.36726755256194887</v>
      </c>
      <c r="M7" s="12">
        <f>(M6/L6-1)</f>
        <v>9.9971383424783955E-3</v>
      </c>
      <c r="N7" s="12">
        <f>(N6/M6-1)</f>
        <v>-0.10751076306107221</v>
      </c>
      <c r="O7" s="12"/>
      <c r="Q7" s="6" t="s">
        <v>27</v>
      </c>
      <c r="R7" s="11"/>
      <c r="S7" s="11"/>
      <c r="T7" s="11"/>
      <c r="U7" s="11"/>
      <c r="V7" s="23"/>
      <c r="W7" s="11"/>
      <c r="X7" s="11"/>
      <c r="Y7" s="11"/>
      <c r="Z7" s="6"/>
      <c r="AA7" s="6"/>
      <c r="AB7" s="166">
        <f>-2.18/10</f>
        <v>-0.21800000000000003</v>
      </c>
      <c r="AC7" s="6">
        <f>0.17/10</f>
        <v>1.7000000000000001E-2</v>
      </c>
      <c r="AD7" s="6">
        <v>0.02</v>
      </c>
    </row>
    <row r="8" spans="1:30" ht="14.5">
      <c r="A8" s="26" t="s">
        <v>80</v>
      </c>
      <c r="B8" s="12"/>
      <c r="C8" s="12"/>
      <c r="D8" s="12"/>
      <c r="E8" s="12"/>
      <c r="F8" s="12">
        <f>+((F6/C6)^(1/3)-1)</f>
        <v>6.8151506729021705E-2</v>
      </c>
      <c r="G8" s="12">
        <f>+((G6/D6)^(1/3)-1)</f>
        <v>0.10264094345757901</v>
      </c>
      <c r="H8" s="12">
        <f>+((H6/E6)^(1/3)-1)</f>
        <v>2.9634858127732588E-2</v>
      </c>
      <c r="I8" s="12">
        <f>+((I6/F6)^(1/3)-1)</f>
        <v>-0.1936830252299836</v>
      </c>
      <c r="J8" s="12">
        <f>+((J6/F6)^(1/3)-1)</f>
        <v>-5.5018030127749529E-2</v>
      </c>
      <c r="K8" s="12">
        <f>+((K6/G6)^(1/3)-1)</f>
        <v>2.3866393537736785E-2</v>
      </c>
      <c r="L8" s="12">
        <f>+((L6/H6)^(1/3)-1)</f>
        <v>-0.10222880212479468</v>
      </c>
      <c r="M8" s="12">
        <f>+((M6/I6)^(1/3)-1)</f>
        <v>0.17140973063906961</v>
      </c>
      <c r="N8" s="12">
        <f>+((N6/J6)^(1/3)-1)</f>
        <v>-3.7666871144879654E-2</v>
      </c>
      <c r="O8" s="12"/>
      <c r="Q8" s="6" t="s">
        <v>28</v>
      </c>
      <c r="R8" s="11">
        <v>4955.598</v>
      </c>
      <c r="S8" s="11">
        <v>7346.1480000000001</v>
      </c>
      <c r="T8" s="11">
        <v>2688.53</v>
      </c>
      <c r="U8" s="11">
        <v>1579.212</v>
      </c>
      <c r="V8" s="23">
        <v>1563.5029999999999</v>
      </c>
      <c r="W8" s="11">
        <v>1487.557</v>
      </c>
      <c r="X8" s="11">
        <v>959.60299999999995</v>
      </c>
      <c r="Y8" s="11">
        <v>1458.6769999999999</v>
      </c>
      <c r="Z8" s="119">
        <v>951.53</v>
      </c>
      <c r="AA8" s="120">
        <v>267.08</v>
      </c>
      <c r="AB8" s="167">
        <f>4115.37/10</f>
        <v>411.53699999999998</v>
      </c>
      <c r="AC8" s="120">
        <v>237.11699999999999</v>
      </c>
      <c r="AD8" s="120">
        <v>11142.617</v>
      </c>
    </row>
    <row r="9" spans="1:30">
      <c r="A9" s="25" t="s">
        <v>2</v>
      </c>
      <c r="B9" s="10">
        <f t="shared" ref="B9:G9" si="5">SUM(B10:B15)</f>
        <v>6185.9529999999995</v>
      </c>
      <c r="C9" s="10">
        <f t="shared" si="5"/>
        <v>8312.8680000000004</v>
      </c>
      <c r="D9" s="10">
        <f t="shared" si="5"/>
        <v>9165.3580000000002</v>
      </c>
      <c r="E9" s="10">
        <f t="shared" si="5"/>
        <v>10393.023999999999</v>
      </c>
      <c r="F9" s="10">
        <f t="shared" si="5"/>
        <v>9542.3709999999992</v>
      </c>
      <c r="G9" s="10">
        <f t="shared" si="5"/>
        <v>11628.027</v>
      </c>
      <c r="H9" s="10">
        <f t="shared" ref="H9:L9" si="6">SUM(H10:H15)</f>
        <v>11193.310999999998</v>
      </c>
      <c r="I9" s="10">
        <f t="shared" si="6"/>
        <v>5605.6949999999997</v>
      </c>
      <c r="J9" s="10">
        <f t="shared" si="6"/>
        <v>8744.3329999999987</v>
      </c>
      <c r="K9" s="10">
        <f t="shared" si="6"/>
        <v>13756.25</v>
      </c>
      <c r="L9" s="10">
        <f t="shared" si="6"/>
        <v>9825.4989999999998</v>
      </c>
      <c r="M9" s="10">
        <f>SUM(M10:M15)</f>
        <v>9613.5920000000006</v>
      </c>
      <c r="N9" s="10">
        <f>SUM(N10:N15)</f>
        <v>7939.5470000000005</v>
      </c>
      <c r="O9" s="10">
        <f>SUM(O10:O15)</f>
        <v>2183.2520000000004</v>
      </c>
      <c r="Q9" s="6" t="s">
        <v>29</v>
      </c>
      <c r="R9" s="11">
        <v>1652.4570000000001</v>
      </c>
      <c r="S9" s="11">
        <v>523.84199999999998</v>
      </c>
      <c r="T9" s="11">
        <v>146.012</v>
      </c>
      <c r="U9" s="11">
        <v>235.196</v>
      </c>
      <c r="V9" s="23">
        <v>31.742000000000001</v>
      </c>
      <c r="W9" s="11">
        <v>5.72</v>
      </c>
      <c r="X9" s="11">
        <v>5.7220000000000004</v>
      </c>
      <c r="Y9" s="11">
        <v>5.5</v>
      </c>
      <c r="Z9" s="120">
        <v>533.5</v>
      </c>
      <c r="AA9" s="120">
        <v>691.54</v>
      </c>
      <c r="AB9" s="167">
        <f>402.76/10</f>
        <v>40.275999999999996</v>
      </c>
      <c r="AC9" s="120">
        <v>975.79100000000005</v>
      </c>
      <c r="AD9" s="124">
        <v>86.915999999999997</v>
      </c>
    </row>
    <row r="10" spans="1:30">
      <c r="A10" s="6" t="s">
        <v>310</v>
      </c>
      <c r="B10" s="11">
        <v>4379.5349999999999</v>
      </c>
      <c r="C10" s="11">
        <v>6078.8379999999997</v>
      </c>
      <c r="D10" s="11">
        <v>7336.8530000000001</v>
      </c>
      <c r="E10" s="11">
        <v>7197.0959999999995</v>
      </c>
      <c r="F10" s="24">
        <v>6809.4110000000001</v>
      </c>
      <c r="G10" s="24">
        <v>8635.2039999999997</v>
      </c>
      <c r="H10" s="24">
        <v>7659.16</v>
      </c>
      <c r="I10" s="24">
        <v>3559.5569999999998</v>
      </c>
      <c r="J10" s="24">
        <v>5770.2650000000003</v>
      </c>
      <c r="K10" s="24">
        <v>10210.91</v>
      </c>
      <c r="L10" s="1">
        <f>60427.5/10</f>
        <v>6042.75</v>
      </c>
      <c r="M10" s="1">
        <v>6033.973</v>
      </c>
      <c r="N10" s="1">
        <v>4353.2129999999997</v>
      </c>
      <c r="O10" s="1">
        <v>1383.0160000000001</v>
      </c>
      <c r="Q10" s="25" t="s">
        <v>30</v>
      </c>
      <c r="R10" s="10">
        <f t="shared" ref="R10:W10" si="7">(R8+R9)</f>
        <v>6608.0550000000003</v>
      </c>
      <c r="S10" s="10">
        <f t="shared" si="7"/>
        <v>7869.99</v>
      </c>
      <c r="T10" s="10">
        <f t="shared" si="7"/>
        <v>2834.5420000000004</v>
      </c>
      <c r="U10" s="10">
        <f t="shared" si="7"/>
        <v>1814.4079999999999</v>
      </c>
      <c r="V10" s="10">
        <f t="shared" si="7"/>
        <v>1595.2449999999999</v>
      </c>
      <c r="W10" s="10">
        <f t="shared" si="7"/>
        <v>1493.277</v>
      </c>
      <c r="X10" s="10">
        <f t="shared" ref="X10:AB10" si="8">(X8+X9)</f>
        <v>965.32499999999993</v>
      </c>
      <c r="Y10" s="10">
        <f t="shared" si="8"/>
        <v>1464.1769999999999</v>
      </c>
      <c r="Z10" s="10">
        <f t="shared" si="8"/>
        <v>1485.03</v>
      </c>
      <c r="AA10" s="10">
        <f t="shared" si="8"/>
        <v>958.61999999999989</v>
      </c>
      <c r="AB10" s="18">
        <f t="shared" si="8"/>
        <v>451.81299999999999</v>
      </c>
      <c r="AC10" s="10">
        <f>(AC8+AC9)</f>
        <v>1212.9080000000001</v>
      </c>
      <c r="AD10" s="10">
        <f>(AD8+AD9)</f>
        <v>11229.532999999999</v>
      </c>
    </row>
    <row r="11" spans="1:30">
      <c r="A11" s="6" t="s">
        <v>81</v>
      </c>
      <c r="B11" s="11">
        <v>72.775000000000006</v>
      </c>
      <c r="C11" s="11">
        <v>214.346</v>
      </c>
      <c r="D11" s="11">
        <v>143.78200000000001</v>
      </c>
      <c r="E11" s="11">
        <v>504.99099999999999</v>
      </c>
      <c r="F11" s="24">
        <v>479.44</v>
      </c>
      <c r="G11" s="24">
        <v>607.91499999999996</v>
      </c>
      <c r="H11" s="24">
        <v>433.83800000000002</v>
      </c>
      <c r="I11" s="24">
        <v>212.54599999999999</v>
      </c>
      <c r="J11" s="24">
        <v>412.50299999999999</v>
      </c>
      <c r="K11" s="24">
        <v>530.76</v>
      </c>
      <c r="L11" s="1">
        <f>5997.14/10</f>
        <v>599.71400000000006</v>
      </c>
      <c r="M11" s="1">
        <v>1198.979</v>
      </c>
      <c r="N11" s="1">
        <v>795.29700000000003</v>
      </c>
      <c r="O11" s="1">
        <v>208.80600000000001</v>
      </c>
      <c r="Q11" s="25" t="s">
        <v>31</v>
      </c>
      <c r="R11" s="10">
        <f>(R6+R8+R7+R52+R48+R50)</f>
        <v>7029.6509999999998</v>
      </c>
      <c r="S11" s="10">
        <f>(S6+S8+S7+S52+S48+S50)</f>
        <v>12126.527000000004</v>
      </c>
      <c r="T11" s="10">
        <f>(T6+T8+T7+T52+T48+T50)</f>
        <v>9472.9590000000026</v>
      </c>
      <c r="U11" s="10">
        <f>(U6+U8+U7+U52+U48+U50)</f>
        <v>12349.489</v>
      </c>
      <c r="V11" s="10">
        <f>(V6+V8+V7+V52+V48+V50)</f>
        <v>16088.573</v>
      </c>
      <c r="W11" s="10">
        <f t="shared" ref="W11:AC11" si="9">(W6+W8+W7+W52+W48+W50+W51)</f>
        <v>17398.38</v>
      </c>
      <c r="X11" s="10">
        <f t="shared" si="9"/>
        <v>20498.281999999996</v>
      </c>
      <c r="Y11" s="10">
        <f t="shared" si="9"/>
        <v>21252.647000000001</v>
      </c>
      <c r="Z11" s="10">
        <f t="shared" si="9"/>
        <v>22969.418000000001</v>
      </c>
      <c r="AA11" s="10">
        <f t="shared" si="9"/>
        <v>26077.590000000004</v>
      </c>
      <c r="AB11" s="18">
        <f t="shared" si="9"/>
        <v>27297.689000000002</v>
      </c>
      <c r="AC11" s="10">
        <f t="shared" si="9"/>
        <v>28434.146999999997</v>
      </c>
      <c r="AD11" s="10">
        <f>(AD6+AD8+AD7+AD52+AD48+AD50+AD51)</f>
        <v>44817.703999999991</v>
      </c>
    </row>
    <row r="12" spans="1:30" ht="14.5">
      <c r="A12" s="6" t="s">
        <v>82</v>
      </c>
      <c r="B12" s="11">
        <v>640.47699999999998</v>
      </c>
      <c r="C12" s="11">
        <v>288.33199999999999</v>
      </c>
      <c r="D12" s="11">
        <v>1.214</v>
      </c>
      <c r="E12" s="11">
        <v>145.03399999999999</v>
      </c>
      <c r="F12" s="24">
        <v>-220.55799999999999</v>
      </c>
      <c r="G12" s="24">
        <v>-154.864</v>
      </c>
      <c r="H12" s="24">
        <v>35.110999999999997</v>
      </c>
      <c r="I12" s="24">
        <v>26.123999999999999</v>
      </c>
      <c r="J12" s="24">
        <v>-117.51900000000001</v>
      </c>
      <c r="K12" s="24">
        <v>-545.36</v>
      </c>
      <c r="L12" s="1">
        <f>2608.77/10</f>
        <v>260.87700000000001</v>
      </c>
      <c r="M12" s="177">
        <v>-189.00800000000001</v>
      </c>
      <c r="N12" s="24">
        <v>-35.414000000000001</v>
      </c>
      <c r="O12" s="24">
        <v>-11.436999999999999</v>
      </c>
      <c r="Q12" s="25" t="s">
        <v>31</v>
      </c>
      <c r="R12" s="10">
        <f t="shared" ref="R12:AC12" si="10">R54-R39-R9</f>
        <v>7029.6509999999998</v>
      </c>
      <c r="S12" s="10">
        <f t="shared" si="10"/>
        <v>12126.526999999998</v>
      </c>
      <c r="T12" s="10">
        <f t="shared" si="10"/>
        <v>9472.9590000000007</v>
      </c>
      <c r="U12" s="10">
        <f t="shared" si="10"/>
        <v>12349.488000000001</v>
      </c>
      <c r="V12" s="10">
        <f t="shared" si="10"/>
        <v>16088.473</v>
      </c>
      <c r="W12" s="10">
        <f t="shared" si="10"/>
        <v>17398.38</v>
      </c>
      <c r="X12" s="10">
        <f t="shared" si="10"/>
        <v>20498.292000000001</v>
      </c>
      <c r="Y12" s="10">
        <f t="shared" si="10"/>
        <v>21252.646999999997</v>
      </c>
      <c r="Z12" s="10">
        <f t="shared" si="10"/>
        <v>22969.432000000004</v>
      </c>
      <c r="AA12" s="10">
        <f t="shared" si="10"/>
        <v>26077.570000000003</v>
      </c>
      <c r="AB12" s="18">
        <f t="shared" si="10"/>
        <v>27297.6911</v>
      </c>
      <c r="AC12" s="10">
        <f t="shared" si="10"/>
        <v>28435.911</v>
      </c>
      <c r="AD12" s="10">
        <f>AD54-AD39-AD9</f>
        <v>44817.718800000002</v>
      </c>
    </row>
    <row r="13" spans="1:30">
      <c r="A13" s="6" t="s">
        <v>54</v>
      </c>
      <c r="B13" s="11">
        <v>154.542</v>
      </c>
      <c r="C13" s="11">
        <v>420.67899999999997</v>
      </c>
      <c r="D13" s="11">
        <v>246.41900000000001</v>
      </c>
      <c r="E13" s="11">
        <v>314.05599999999998</v>
      </c>
      <c r="F13" s="24">
        <v>382.16</v>
      </c>
      <c r="G13" s="24">
        <v>417.10899999999998</v>
      </c>
      <c r="H13" s="24">
        <v>488.43900000000002</v>
      </c>
      <c r="I13" s="24">
        <v>345.94</v>
      </c>
      <c r="J13" s="24">
        <v>487.98899999999998</v>
      </c>
      <c r="K13" s="24">
        <v>601.78</v>
      </c>
      <c r="L13" s="1">
        <f>5097.68/10</f>
        <v>509.76800000000003</v>
      </c>
      <c r="M13" s="1">
        <v>482.17099999999999</v>
      </c>
      <c r="N13" s="1">
        <v>462.137</v>
      </c>
      <c r="O13" s="1">
        <v>119.413</v>
      </c>
      <c r="Q13" s="6"/>
      <c r="R13" s="171"/>
      <c r="S13" s="24"/>
      <c r="T13" s="24"/>
      <c r="U13" s="24"/>
      <c r="V13" s="24"/>
      <c r="W13" s="24"/>
      <c r="X13" s="24"/>
      <c r="Y13" s="11"/>
      <c r="Z13" s="6"/>
      <c r="AA13" s="6"/>
      <c r="AB13" s="166"/>
      <c r="AC13" s="6"/>
      <c r="AD13" s="6"/>
    </row>
    <row r="14" spans="1:30">
      <c r="A14" s="6" t="s">
        <v>56</v>
      </c>
      <c r="B14" s="11">
        <v>938.62400000000002</v>
      </c>
      <c r="C14" s="11">
        <v>1310.673</v>
      </c>
      <c r="D14" s="11">
        <v>1437.09</v>
      </c>
      <c r="E14" s="11">
        <v>1502.0260000000001</v>
      </c>
      <c r="F14" s="24">
        <v>1909.5509999999999</v>
      </c>
      <c r="G14" s="24">
        <v>2122.663</v>
      </c>
      <c r="H14" s="24">
        <v>2576.7629999999999</v>
      </c>
      <c r="I14" s="24">
        <v>1461.528</v>
      </c>
      <c r="J14" s="24">
        <v>2191.0949999999998</v>
      </c>
      <c r="K14" s="24">
        <v>2958.16</v>
      </c>
      <c r="L14" s="1">
        <f>24123.9/10</f>
        <v>2412.3900000000003</v>
      </c>
      <c r="M14" s="1">
        <v>2087.4769999999999</v>
      </c>
      <c r="N14" s="1">
        <v>2364.3139999999999</v>
      </c>
      <c r="O14" s="1">
        <v>483.45400000000001</v>
      </c>
      <c r="Q14" s="6"/>
      <c r="R14" s="27"/>
      <c r="S14" s="27"/>
      <c r="T14" s="27"/>
      <c r="U14" s="27"/>
      <c r="V14" s="27"/>
      <c r="W14" s="28"/>
      <c r="X14" s="28"/>
      <c r="Y14" s="11"/>
      <c r="Z14" s="6"/>
      <c r="AA14" s="6"/>
      <c r="AB14" s="166"/>
      <c r="AC14" s="6"/>
      <c r="AD14" s="6"/>
    </row>
    <row r="15" spans="1:30" ht="14.5">
      <c r="A15" s="6" t="s">
        <v>83</v>
      </c>
      <c r="B15" s="11">
        <v>0</v>
      </c>
      <c r="C15" s="11">
        <v>0</v>
      </c>
      <c r="D15" s="11">
        <v>0</v>
      </c>
      <c r="E15" s="11">
        <v>729.82100000000003</v>
      </c>
      <c r="F15" s="24">
        <v>182.36699999999999</v>
      </c>
      <c r="G15" s="24">
        <v>0</v>
      </c>
      <c r="H15" s="24">
        <v>0</v>
      </c>
      <c r="I15" s="24" t="s">
        <v>182</v>
      </c>
      <c r="J15" s="24" t="s">
        <v>182</v>
      </c>
      <c r="K15" s="24"/>
      <c r="L15" s="6"/>
      <c r="M15" s="6"/>
      <c r="N15" s="6"/>
      <c r="O15" s="6"/>
      <c r="Q15" s="6" t="s">
        <v>84</v>
      </c>
      <c r="R15" s="172">
        <v>4353.3829999999998</v>
      </c>
      <c r="S15" s="11">
        <v>4560.63</v>
      </c>
      <c r="T15" s="11">
        <v>3384.7109999999998</v>
      </c>
      <c r="U15" s="11">
        <v>3667.5830000000001</v>
      </c>
      <c r="V15" s="23">
        <v>4032.8429999999998</v>
      </c>
      <c r="W15" s="11">
        <v>4768.875</v>
      </c>
      <c r="X15" s="11">
        <v>5061.585</v>
      </c>
      <c r="Y15" s="11">
        <v>4964.9849999999997</v>
      </c>
      <c r="Z15" s="117">
        <v>5591.0110000000004</v>
      </c>
      <c r="AA15" s="1">
        <v>5430.36</v>
      </c>
      <c r="AB15" s="168">
        <f>50806.22/10</f>
        <v>5080.6220000000003</v>
      </c>
      <c r="AC15" s="54">
        <v>4694.9650000000001</v>
      </c>
      <c r="AD15" s="54">
        <v>8046.71</v>
      </c>
    </row>
    <row r="16" spans="1:30" ht="14.5">
      <c r="A16" s="25" t="s">
        <v>3</v>
      </c>
      <c r="B16" s="10">
        <f>(B6-B9)</f>
        <v>735.17799999999988</v>
      </c>
      <c r="C16" s="10">
        <f>(C6-C9)</f>
        <v>1014.7309999999998</v>
      </c>
      <c r="D16" s="10">
        <f>(D6-D9)</f>
        <v>1251.5749999999989</v>
      </c>
      <c r="E16" s="10">
        <f t="shared" ref="E16:J16" si="11">(E4-E9)</f>
        <v>1589.478000000001</v>
      </c>
      <c r="F16" s="10">
        <f t="shared" si="11"/>
        <v>1809.3120000000017</v>
      </c>
      <c r="G16" s="10">
        <f t="shared" si="11"/>
        <v>2310.2610000000004</v>
      </c>
      <c r="H16" s="10">
        <f t="shared" si="11"/>
        <v>1860.5690000000013</v>
      </c>
      <c r="I16" s="10">
        <f t="shared" si="11"/>
        <v>335.61700000000019</v>
      </c>
      <c r="J16" s="10">
        <f t="shared" si="11"/>
        <v>825.95300000000134</v>
      </c>
      <c r="K16" s="10">
        <f>(K4-K9)</f>
        <v>1212.8899999999994</v>
      </c>
      <c r="L16" s="10">
        <f>(L4-L9)</f>
        <v>-374.84100000000035</v>
      </c>
      <c r="M16" s="10">
        <f>(M4-M9)</f>
        <v>-121.46500000000015</v>
      </c>
      <c r="N16" s="10">
        <f>N24+N21+N20</f>
        <v>609.45299999999997</v>
      </c>
      <c r="O16" s="10">
        <f>O24+O21+O20</f>
        <v>185.60599999999991</v>
      </c>
      <c r="Q16" s="6" t="s">
        <v>261</v>
      </c>
      <c r="R16" s="172"/>
      <c r="S16" s="11"/>
      <c r="T16" s="11"/>
      <c r="U16" s="11"/>
      <c r="V16" s="23"/>
      <c r="W16" s="11"/>
      <c r="X16" s="11"/>
      <c r="Y16" s="11"/>
      <c r="Z16" s="117"/>
      <c r="AA16" s="1"/>
      <c r="AB16" s="168"/>
      <c r="AC16" s="54">
        <v>2.641</v>
      </c>
      <c r="AD16" s="54">
        <v>8.8320000000000007</v>
      </c>
    </row>
    <row r="17" spans="1:30" ht="12">
      <c r="A17" s="26" t="s">
        <v>1</v>
      </c>
      <c r="B17" s="12"/>
      <c r="C17" s="12">
        <f t="shared" ref="C17:H17" si="12">(C16/B16-1)</f>
        <v>0.38025212941627728</v>
      </c>
      <c r="D17" s="12">
        <f t="shared" si="12"/>
        <v>0.23340570062410548</v>
      </c>
      <c r="E17" s="12">
        <f t="shared" si="12"/>
        <v>0.26998222239977809</v>
      </c>
      <c r="F17" s="12">
        <f t="shared" si="12"/>
        <v>0.13830578340813804</v>
      </c>
      <c r="G17" s="12">
        <f t="shared" si="12"/>
        <v>0.27687264551387392</v>
      </c>
      <c r="H17" s="12">
        <f t="shared" si="12"/>
        <v>-0.19464986856463362</v>
      </c>
      <c r="I17" s="12">
        <f>(I16/H16-1)</f>
        <v>-0.81961593469524652</v>
      </c>
      <c r="J17" s="12">
        <f>(J16/H16-1)</f>
        <v>-0.5560750501593863</v>
      </c>
      <c r="K17" s="12">
        <f>(K16/J16-1)</f>
        <v>0.46847338771091995</v>
      </c>
      <c r="L17" s="176" t="s">
        <v>178</v>
      </c>
      <c r="M17" s="12">
        <f>(M16/L16-1)</f>
        <v>-0.67595593865132142</v>
      </c>
      <c r="N17" s="176" t="s">
        <v>178</v>
      </c>
      <c r="O17" s="12"/>
      <c r="Q17" s="6" t="s">
        <v>85</v>
      </c>
      <c r="R17" s="172">
        <v>0</v>
      </c>
      <c r="S17" s="11">
        <v>0</v>
      </c>
      <c r="T17" s="11">
        <v>0</v>
      </c>
      <c r="U17" s="11">
        <v>360.339</v>
      </c>
      <c r="V17" s="23">
        <v>321.28500000000003</v>
      </c>
      <c r="W17" s="11">
        <v>377.28500000000003</v>
      </c>
      <c r="X17" s="11">
        <v>785.31100000000004</v>
      </c>
      <c r="Y17" s="11">
        <v>962.74900000000002</v>
      </c>
      <c r="Z17" s="1">
        <v>584.149</v>
      </c>
      <c r="AA17" s="1">
        <v>629.24</v>
      </c>
      <c r="AB17" s="165">
        <f>7250.1/10</f>
        <v>725.01</v>
      </c>
      <c r="AC17" s="1">
        <v>725.40899999999999</v>
      </c>
      <c r="AD17" s="1">
        <v>627.32280000000003</v>
      </c>
    </row>
    <row r="18" spans="1:30" ht="14.5">
      <c r="A18" s="26" t="s">
        <v>80</v>
      </c>
      <c r="B18" s="12"/>
      <c r="C18" s="12"/>
      <c r="D18" s="12"/>
      <c r="E18" s="12"/>
      <c r="F18" s="12">
        <f>+((F16/C16)^(1/3)-1)</f>
        <v>0.21260916155732956</v>
      </c>
      <c r="G18" s="12">
        <f>+((G16/D16)^(1/3)-1)</f>
        <v>0.22668971040752339</v>
      </c>
      <c r="H18" s="12">
        <f>+((H16/E16)^(1/3)-1)</f>
        <v>5.3894374860900429E-2</v>
      </c>
      <c r="I18" s="12">
        <f>+((I16/F16)^(1/3)-1)</f>
        <v>-0.42969108237558495</v>
      </c>
      <c r="J18" s="12">
        <f>+((J16/F16)^(1/3)-1)</f>
        <v>-0.23001790945873102</v>
      </c>
      <c r="K18" s="12">
        <f>+((K16/G16)^(1/3)-1)</f>
        <v>-0.19328501741182957</v>
      </c>
      <c r="L18" s="176" t="s">
        <v>178</v>
      </c>
      <c r="M18" s="176" t="s">
        <v>178</v>
      </c>
      <c r="N18" s="176"/>
      <c r="O18" s="176"/>
      <c r="Q18" s="6" t="s">
        <v>86</v>
      </c>
      <c r="R18" s="172">
        <v>0</v>
      </c>
      <c r="S18" s="11">
        <v>0</v>
      </c>
      <c r="T18" s="11">
        <v>0</v>
      </c>
      <c r="U18" s="11">
        <v>95.775999999999996</v>
      </c>
      <c r="V18" s="23">
        <v>84.61</v>
      </c>
      <c r="W18" s="11">
        <v>70.495999999999995</v>
      </c>
      <c r="X18" s="11">
        <v>56.067</v>
      </c>
      <c r="Y18" s="11">
        <v>48.976999999999997</v>
      </c>
      <c r="Z18" s="117">
        <v>42.109000000000002</v>
      </c>
      <c r="AA18" s="1">
        <v>28.29</v>
      </c>
      <c r="AB18" s="165">
        <f>142.63/10</f>
        <v>14.263</v>
      </c>
      <c r="AC18" s="1">
        <v>0.26100000000000001</v>
      </c>
      <c r="AD18" s="1">
        <v>0.217</v>
      </c>
    </row>
    <row r="19" spans="1:30" ht="14.5">
      <c r="A19" s="25" t="s">
        <v>4</v>
      </c>
      <c r="B19" s="29">
        <f t="shared" ref="B19:G19" si="13">(B16/B6)</f>
        <v>0.10622223448739808</v>
      </c>
      <c r="C19" s="29">
        <f t="shared" si="13"/>
        <v>0.10878801715210953</v>
      </c>
      <c r="D19" s="29">
        <f t="shared" si="13"/>
        <v>0.12014812805266185</v>
      </c>
      <c r="E19" s="29">
        <f t="shared" si="13"/>
        <v>0.13237593821027094</v>
      </c>
      <c r="F19" s="29">
        <f t="shared" si="13"/>
        <v>0.15916406563184773</v>
      </c>
      <c r="G19" s="29">
        <f t="shared" si="13"/>
        <v>0.16543173772278938</v>
      </c>
      <c r="H19" s="29">
        <f t="shared" ref="H19:N19" si="14">(H16/H6)</f>
        <v>0.14195496902169921</v>
      </c>
      <c r="I19" s="29">
        <f t="shared" si="14"/>
        <v>5.6319410871075885E-2</v>
      </c>
      <c r="J19" s="29">
        <f t="shared" si="14"/>
        <v>8.6102612424772046E-2</v>
      </c>
      <c r="K19" s="29">
        <f t="shared" si="14"/>
        <v>8.0918781664929801E-2</v>
      </c>
      <c r="L19" s="29">
        <f t="shared" si="14"/>
        <v>-3.9523454942179584E-2</v>
      </c>
      <c r="M19" s="29">
        <f t="shared" si="14"/>
        <v>-1.2680571431136623E-2</v>
      </c>
      <c r="N19" s="29">
        <f t="shared" si="14"/>
        <v>7.1289390571996722E-2</v>
      </c>
      <c r="O19" s="29">
        <f>(O16/O6)</f>
        <v>7.8352522607940164E-2</v>
      </c>
      <c r="Q19" s="6" t="s">
        <v>263</v>
      </c>
      <c r="R19" s="172"/>
      <c r="S19" s="11"/>
      <c r="T19" s="11"/>
      <c r="U19" s="11"/>
      <c r="V19" s="23"/>
      <c r="W19" s="11"/>
      <c r="X19" s="11"/>
      <c r="Y19" s="11"/>
      <c r="Z19" s="117"/>
      <c r="AA19" s="1"/>
      <c r="AB19" s="165">
        <v>0.45300000000000001</v>
      </c>
      <c r="AC19" s="1">
        <v>1.26</v>
      </c>
      <c r="AD19" s="1">
        <v>7.3999999999999996E-2</v>
      </c>
    </row>
    <row r="20" spans="1:30">
      <c r="A20" s="6" t="s">
        <v>89</v>
      </c>
      <c r="B20" s="11">
        <v>365.72800000000001</v>
      </c>
      <c r="C20" s="11">
        <v>283.57799999999997</v>
      </c>
      <c r="D20" s="11">
        <v>268.62599999999998</v>
      </c>
      <c r="E20" s="11">
        <v>291.08</v>
      </c>
      <c r="F20" s="24">
        <v>340.68099999999998</v>
      </c>
      <c r="G20" s="24">
        <v>375.584</v>
      </c>
      <c r="H20" s="24">
        <v>443.983</v>
      </c>
      <c r="I20" s="24">
        <v>326.20299999999997</v>
      </c>
      <c r="J20" s="24">
        <v>461.28100000000001</v>
      </c>
      <c r="K20" s="24">
        <v>501.65</v>
      </c>
      <c r="L20" s="1">
        <f>4888.19/10</f>
        <v>488.81899999999996</v>
      </c>
      <c r="M20" s="1">
        <v>486.399</v>
      </c>
      <c r="N20" s="1">
        <v>445.28800000000001</v>
      </c>
      <c r="O20" s="1">
        <v>115.9</v>
      </c>
      <c r="P20" s="3"/>
      <c r="Q20" s="6" t="s">
        <v>87</v>
      </c>
      <c r="R20" s="172">
        <v>1961.405</v>
      </c>
      <c r="S20" s="11">
        <v>3943.6010000000001</v>
      </c>
      <c r="T20" s="11">
        <v>5678.3280000000004</v>
      </c>
      <c r="U20" s="11">
        <v>7163.3010000000004</v>
      </c>
      <c r="V20" s="23">
        <v>9476.7710000000006</v>
      </c>
      <c r="W20" s="11">
        <v>9541.6839999999993</v>
      </c>
      <c r="X20" s="11">
        <v>12139.757</v>
      </c>
      <c r="Y20" s="11">
        <v>12765.254999999999</v>
      </c>
      <c r="Z20" s="1">
        <v>14447.004000000001</v>
      </c>
      <c r="AA20" s="1">
        <v>17805.57</v>
      </c>
      <c r="AB20" s="165">
        <f>199214.76/10</f>
        <v>19921.476000000002</v>
      </c>
      <c r="AC20" s="1">
        <v>22130.634999999998</v>
      </c>
      <c r="AD20" s="1">
        <v>28072.181</v>
      </c>
    </row>
    <row r="21" spans="1:30">
      <c r="A21" s="6" t="s">
        <v>91</v>
      </c>
      <c r="B21" s="11">
        <v>802.21900000000005</v>
      </c>
      <c r="C21" s="11">
        <v>863.06500000000005</v>
      </c>
      <c r="D21" s="11">
        <v>734.79499999999996</v>
      </c>
      <c r="E21" s="11">
        <v>91.156999999999996</v>
      </c>
      <c r="F21" s="24">
        <v>34.841000000000001</v>
      </c>
      <c r="G21" s="24">
        <v>50.847999999999999</v>
      </c>
      <c r="H21" s="24">
        <v>48.362000000000002</v>
      </c>
      <c r="I21" s="24">
        <v>29.411999999999999</v>
      </c>
      <c r="J21" s="24">
        <v>40.087000000000003</v>
      </c>
      <c r="K21" s="24">
        <v>47.82</v>
      </c>
      <c r="L21" s="1">
        <f>631.02/10</f>
        <v>63.101999999999997</v>
      </c>
      <c r="M21" s="1">
        <v>228.23400000000001</v>
      </c>
      <c r="N21" s="1">
        <v>1271.0260000000001</v>
      </c>
      <c r="O21" s="1">
        <v>595.44899999999996</v>
      </c>
      <c r="P21" s="30"/>
      <c r="Q21" s="6" t="s">
        <v>88</v>
      </c>
      <c r="R21" s="11"/>
      <c r="S21" s="11"/>
      <c r="T21" s="11"/>
      <c r="U21" s="11"/>
      <c r="V21" s="23"/>
      <c r="W21" s="11"/>
      <c r="X21" s="11"/>
      <c r="Y21" s="11"/>
      <c r="Z21" s="1"/>
      <c r="AA21" s="1"/>
      <c r="AB21" s="165"/>
      <c r="AC21" s="1"/>
      <c r="AD21" s="1"/>
    </row>
    <row r="22" spans="1:30">
      <c r="A22" s="6" t="s">
        <v>93</v>
      </c>
      <c r="B22" s="11">
        <v>0</v>
      </c>
      <c r="C22" s="11">
        <v>0</v>
      </c>
      <c r="D22" s="11">
        <v>0</v>
      </c>
      <c r="E22" s="11">
        <v>0</v>
      </c>
      <c r="F22" s="24">
        <v>0</v>
      </c>
      <c r="G22" s="24">
        <v>0</v>
      </c>
      <c r="H22" s="24">
        <v>0</v>
      </c>
      <c r="I22" s="24"/>
      <c r="J22" s="24">
        <v>0</v>
      </c>
      <c r="K22" s="24"/>
      <c r="L22" s="6"/>
      <c r="M22" s="6"/>
      <c r="N22" s="6"/>
      <c r="O22" s="6"/>
      <c r="Q22" s="6" t="s">
        <v>90</v>
      </c>
      <c r="R22" s="11">
        <v>0</v>
      </c>
      <c r="S22" s="11">
        <v>0</v>
      </c>
      <c r="T22" s="11">
        <v>0</v>
      </c>
      <c r="U22" s="11">
        <v>2.3809999999999998</v>
      </c>
      <c r="V22" s="23">
        <v>0.62</v>
      </c>
      <c r="W22" s="11">
        <v>0.62</v>
      </c>
      <c r="X22" s="11">
        <v>0.62</v>
      </c>
      <c r="Y22" s="11">
        <v>0.62</v>
      </c>
      <c r="Z22" s="1">
        <v>0.77900000000000003</v>
      </c>
      <c r="AA22" s="1">
        <v>0.28999999999999998</v>
      </c>
      <c r="AB22" s="165">
        <f>2.79/10</f>
        <v>0.27900000000000003</v>
      </c>
      <c r="AC22" s="1">
        <v>0.12</v>
      </c>
      <c r="AD22" s="1">
        <v>0.12</v>
      </c>
    </row>
    <row r="23" spans="1:30">
      <c r="A23" s="6" t="s">
        <v>95</v>
      </c>
      <c r="B23" s="11">
        <v>-287.661</v>
      </c>
      <c r="C23" s="11">
        <v>0</v>
      </c>
      <c r="D23" s="11">
        <v>46.962000000000003</v>
      </c>
      <c r="E23" s="11">
        <v>0</v>
      </c>
      <c r="F23" s="24">
        <v>0</v>
      </c>
      <c r="G23" s="24">
        <v>0</v>
      </c>
      <c r="H23" s="24">
        <v>0</v>
      </c>
      <c r="I23" s="24"/>
      <c r="J23" s="24">
        <v>0</v>
      </c>
      <c r="K23" s="24"/>
      <c r="L23" s="6"/>
      <c r="M23" s="6"/>
      <c r="N23" s="6"/>
      <c r="O23" s="6"/>
      <c r="Q23" s="6" t="s">
        <v>92</v>
      </c>
      <c r="R23" s="11">
        <v>0</v>
      </c>
      <c r="S23" s="11">
        <v>0</v>
      </c>
      <c r="T23" s="11">
        <v>0</v>
      </c>
      <c r="U23" s="11">
        <v>71.25</v>
      </c>
      <c r="V23" s="23">
        <v>73.745000000000005</v>
      </c>
      <c r="W23" s="24">
        <v>99.673000000000002</v>
      </c>
      <c r="X23" s="11">
        <v>120.16500000000001</v>
      </c>
      <c r="Y23" s="11">
        <v>121.43600000000001</v>
      </c>
      <c r="Z23" s="1">
        <v>130.57499999999999</v>
      </c>
      <c r="AA23" s="1">
        <v>133.93</v>
      </c>
      <c r="AB23" s="165">
        <f>1616.35/10</f>
        <v>161.63499999999999</v>
      </c>
      <c r="AC23" s="1">
        <v>161.929</v>
      </c>
      <c r="AD23" s="1">
        <v>169.86500000000001</v>
      </c>
    </row>
    <row r="24" spans="1:30">
      <c r="A24" s="25" t="s">
        <v>6</v>
      </c>
      <c r="B24" s="10">
        <f>(B16-B20-B21+B22+B23)</f>
        <v>-720.43000000000018</v>
      </c>
      <c r="C24" s="10">
        <f>(C16-C20-C21+C22+C23)</f>
        <v>-131.91200000000026</v>
      </c>
      <c r="D24" s="10">
        <f>(D16-D20-D21+D22+D23)</f>
        <v>295.11599999999896</v>
      </c>
      <c r="E24" s="10">
        <f t="shared" ref="E24:J24" si="15">(E16-E20-E21+E22+E23+E5)</f>
        <v>1232.0420000000011</v>
      </c>
      <c r="F24" s="10">
        <f t="shared" si="15"/>
        <v>1449.6980000000017</v>
      </c>
      <c r="G24" s="10">
        <f t="shared" si="15"/>
        <v>1910.5820000000003</v>
      </c>
      <c r="H24" s="10">
        <f t="shared" si="15"/>
        <v>1421.0990000000013</v>
      </c>
      <c r="I24" s="10">
        <f t="shared" si="15"/>
        <v>-2.1389999999997826</v>
      </c>
      <c r="J24" s="10">
        <f t="shared" si="15"/>
        <v>346.95800000000133</v>
      </c>
      <c r="K24" s="10">
        <f>(K16-K20-K21+K22+K23+K5)</f>
        <v>683.25999999999942</v>
      </c>
      <c r="L24" s="10">
        <f>(L16-L20-L21+L22+L23+L5)</f>
        <v>-893.40600000000029</v>
      </c>
      <c r="M24" s="10">
        <f>(M16-M20-M21+M22+M23+M5)</f>
        <v>-749.39800000000014</v>
      </c>
      <c r="N24" s="10">
        <v>-1106.8610000000001</v>
      </c>
      <c r="O24" s="10">
        <v>-525.74300000000005</v>
      </c>
      <c r="Q24" s="6" t="s">
        <v>118</v>
      </c>
      <c r="R24" s="11"/>
      <c r="S24" s="11"/>
      <c r="T24" s="11"/>
      <c r="U24" s="11"/>
      <c r="V24" s="23"/>
      <c r="W24" s="24">
        <v>35.646999999999998</v>
      </c>
      <c r="X24" s="11">
        <v>20.071999999999999</v>
      </c>
      <c r="Y24" s="11">
        <v>1.956</v>
      </c>
      <c r="Z24" s="1">
        <v>12.467000000000001</v>
      </c>
      <c r="AA24" s="1">
        <v>7.79</v>
      </c>
      <c r="AB24" s="165">
        <f>136.62/10</f>
        <v>13.662000000000001</v>
      </c>
      <c r="AC24" s="1">
        <v>0</v>
      </c>
      <c r="AD24" s="1" t="s">
        <v>182</v>
      </c>
    </row>
    <row r="25" spans="1:30">
      <c r="A25" s="6" t="s">
        <v>7</v>
      </c>
      <c r="B25" s="11">
        <v>6.3959999999999999</v>
      </c>
      <c r="C25" s="11">
        <v>29.262</v>
      </c>
      <c r="D25" s="11">
        <v>38.374000000000002</v>
      </c>
      <c r="E25" s="11">
        <v>137.005</v>
      </c>
      <c r="F25" s="24">
        <v>182.95500000000001</v>
      </c>
      <c r="G25" s="24">
        <v>334.34100000000001</v>
      </c>
      <c r="H25" s="24">
        <f>303.165-39.027</f>
        <v>264.13800000000003</v>
      </c>
      <c r="I25" s="24">
        <v>172.221</v>
      </c>
      <c r="J25" s="24">
        <v>129.22800000000001</v>
      </c>
      <c r="K25" s="24">
        <v>154.08000000000001</v>
      </c>
      <c r="L25" s="1">
        <f>1563.19/10</f>
        <v>156.31900000000002</v>
      </c>
      <c r="M25" s="1">
        <v>129.55799999999999</v>
      </c>
      <c r="N25" s="1"/>
      <c r="O25" s="1"/>
      <c r="Q25" s="6" t="s">
        <v>94</v>
      </c>
      <c r="R25" s="11">
        <v>220.53899999999999</v>
      </c>
      <c r="S25" s="11">
        <v>238.55</v>
      </c>
      <c r="T25" s="11">
        <v>148.72800000000001</v>
      </c>
      <c r="U25" s="11">
        <v>0</v>
      </c>
      <c r="V25" s="23"/>
      <c r="W25" s="11">
        <v>0</v>
      </c>
      <c r="X25" s="11">
        <v>0</v>
      </c>
      <c r="Y25" s="11"/>
      <c r="Z25" s="1">
        <v>0</v>
      </c>
      <c r="AA25" s="1">
        <v>0</v>
      </c>
      <c r="AB25" s="165">
        <v>0</v>
      </c>
      <c r="AC25" s="1">
        <v>17.141999999999999</v>
      </c>
      <c r="AD25" s="1">
        <v>1932.442</v>
      </c>
    </row>
    <row r="26" spans="1:30" ht="12">
      <c r="A26" s="26" t="s">
        <v>8</v>
      </c>
      <c r="B26" s="12">
        <v>0</v>
      </c>
      <c r="C26" s="12">
        <v>0</v>
      </c>
      <c r="D26" s="12">
        <f t="shared" ref="D26:J26" si="16">(D25/D24)</f>
        <v>0.13003022540289289</v>
      </c>
      <c r="E26" s="12">
        <f t="shared" si="16"/>
        <v>0.11120156618037362</v>
      </c>
      <c r="F26" s="12">
        <f t="shared" si="16"/>
        <v>0.12620214692991216</v>
      </c>
      <c r="G26" s="12">
        <f t="shared" si="16"/>
        <v>0.17499432110215629</v>
      </c>
      <c r="H26" s="12">
        <f t="shared" si="16"/>
        <v>0.18586882405800004</v>
      </c>
      <c r="I26" s="12">
        <f t="shared" si="16"/>
        <v>-80.514726507722074</v>
      </c>
      <c r="J26" s="12">
        <f t="shared" si="16"/>
        <v>0.37246006721274483</v>
      </c>
      <c r="K26" s="12">
        <f>(K25/K24)</f>
        <v>0.22550712759418104</v>
      </c>
      <c r="L26" s="12">
        <f>(L25/L24)</f>
        <v>-0.17496972261211585</v>
      </c>
      <c r="M26" s="12">
        <f>(M25/M24)</f>
        <v>-0.17288276723450019</v>
      </c>
      <c r="N26" s="12">
        <f>(N25/N24)</f>
        <v>0</v>
      </c>
      <c r="O26" s="12">
        <f>(O25/O24)</f>
        <v>0</v>
      </c>
      <c r="P26" s="118"/>
      <c r="Q26" s="6" t="s">
        <v>96</v>
      </c>
      <c r="R26" s="11">
        <v>7.9480000000000004</v>
      </c>
      <c r="S26" s="11">
        <v>14.313000000000001</v>
      </c>
      <c r="T26" s="11">
        <v>0.85599999999999998</v>
      </c>
      <c r="U26" s="11">
        <v>254.85</v>
      </c>
      <c r="V26" s="23">
        <v>295.77300000000002</v>
      </c>
      <c r="W26" s="11">
        <v>778.89400000000001</v>
      </c>
      <c r="X26" s="11">
        <v>735.42899999999997</v>
      </c>
      <c r="Y26" s="11">
        <v>755.17600000000004</v>
      </c>
      <c r="Z26" s="1">
        <v>699.6</v>
      </c>
      <c r="AA26" s="1">
        <v>780.24</v>
      </c>
      <c r="AB26" s="165">
        <f>6137.72/10</f>
        <v>613.77200000000005</v>
      </c>
      <c r="AC26" s="1">
        <v>602.91099999999994</v>
      </c>
      <c r="AD26" s="1">
        <v>1320.5039999999999</v>
      </c>
    </row>
    <row r="27" spans="1:30">
      <c r="A27" s="25" t="s">
        <v>9</v>
      </c>
      <c r="B27" s="10">
        <f t="shared" ref="B27:J27" si="17">(B24-B25)</f>
        <v>-726.82600000000014</v>
      </c>
      <c r="C27" s="10">
        <f t="shared" si="17"/>
        <v>-161.17400000000026</v>
      </c>
      <c r="D27" s="10">
        <f t="shared" si="17"/>
        <v>256.74199999999894</v>
      </c>
      <c r="E27" s="10">
        <f t="shared" si="17"/>
        <v>1095.0370000000012</v>
      </c>
      <c r="F27" s="10">
        <f t="shared" si="17"/>
        <v>1266.7430000000018</v>
      </c>
      <c r="G27" s="10">
        <f t="shared" si="17"/>
        <v>1576.2410000000004</v>
      </c>
      <c r="H27" s="10">
        <f t="shared" si="17"/>
        <v>1156.9610000000011</v>
      </c>
      <c r="I27" s="10">
        <f t="shared" si="17"/>
        <v>-174.35999999999979</v>
      </c>
      <c r="J27" s="10">
        <f t="shared" si="17"/>
        <v>217.73000000000133</v>
      </c>
      <c r="K27" s="10">
        <f>(K24-K25)</f>
        <v>529.17999999999938</v>
      </c>
      <c r="L27" s="10">
        <f>(L24-L25)</f>
        <v>-1049.7250000000004</v>
      </c>
      <c r="M27" s="10">
        <v>-878.947</v>
      </c>
      <c r="N27" s="10">
        <v>-1084.2560000000001</v>
      </c>
      <c r="O27" s="10">
        <v>-514.07899999999995</v>
      </c>
      <c r="Q27" s="6" t="s">
        <v>116</v>
      </c>
      <c r="R27" s="11"/>
      <c r="S27" s="11"/>
      <c r="T27" s="11"/>
      <c r="U27" s="11"/>
      <c r="V27" s="23"/>
      <c r="W27" s="11"/>
      <c r="X27" s="11">
        <v>0</v>
      </c>
      <c r="Y27" s="11"/>
      <c r="Z27" s="1">
        <v>71.844999999999999</v>
      </c>
      <c r="AA27" s="1">
        <v>133.02000000000001</v>
      </c>
      <c r="AB27" s="165">
        <f>1500.34/10</f>
        <v>150.03399999999999</v>
      </c>
      <c r="AC27" s="1">
        <v>184.53399999999999</v>
      </c>
      <c r="AD27" s="1">
        <v>218.55799999999999</v>
      </c>
    </row>
    <row r="28" spans="1:30">
      <c r="A28" s="25" t="s">
        <v>66</v>
      </c>
      <c r="B28" s="31">
        <v>0</v>
      </c>
      <c r="C28" s="31">
        <v>0</v>
      </c>
      <c r="D28" s="31">
        <f t="shared" ref="D28:J28" si="18">D27/D6</f>
        <v>2.4646601835684165E-2</v>
      </c>
      <c r="E28" s="31">
        <f t="shared" si="18"/>
        <v>9.1197582004884953E-2</v>
      </c>
      <c r="F28" s="31">
        <f t="shared" si="18"/>
        <v>0.11143460386637782</v>
      </c>
      <c r="G28" s="31">
        <f t="shared" si="18"/>
        <v>0.11287048852917798</v>
      </c>
      <c r="H28" s="31">
        <f t="shared" si="18"/>
        <v>8.827211617215712E-2</v>
      </c>
      <c r="I28" s="31">
        <f t="shared" si="18"/>
        <v>-2.9259103321586138E-2</v>
      </c>
      <c r="J28" s="31">
        <f t="shared" si="18"/>
        <v>2.2697564877475717E-2</v>
      </c>
      <c r="K28" s="31">
        <f>K27/K6</f>
        <v>3.5304603782245314E-2</v>
      </c>
      <c r="L28" s="31">
        <f>L27/L6</f>
        <v>-0.11068361982595137</v>
      </c>
      <c r="M28" s="31">
        <f>M27/M6</f>
        <v>-9.1759356338724965E-2</v>
      </c>
      <c r="N28" s="31">
        <f>N27/N6</f>
        <v>-0.12682840098257106</v>
      </c>
      <c r="O28" s="31">
        <f>O27/O6</f>
        <v>-0.21701554082177996</v>
      </c>
      <c r="Q28" s="25" t="s">
        <v>32</v>
      </c>
      <c r="R28" s="10">
        <f t="shared" ref="R28:W28" si="19">SUM(R29:R38)</f>
        <v>5580.9880000000003</v>
      </c>
      <c r="S28" s="10">
        <f t="shared" si="19"/>
        <v>6799.6559999999999</v>
      </c>
      <c r="T28" s="10">
        <f t="shared" si="19"/>
        <v>4179.3160000000007</v>
      </c>
      <c r="U28" s="10">
        <f t="shared" si="19"/>
        <v>3114.8330000000001</v>
      </c>
      <c r="V28" s="10">
        <f t="shared" si="19"/>
        <v>3958.491</v>
      </c>
      <c r="W28" s="10">
        <f t="shared" si="19"/>
        <v>4910.2999999999984</v>
      </c>
      <c r="X28" s="10">
        <f t="shared" ref="X28:AB28" si="20">SUM(X29:X38)</f>
        <v>5118.6600000000008</v>
      </c>
      <c r="Y28" s="10">
        <f t="shared" si="20"/>
        <v>4875.3359999999993</v>
      </c>
      <c r="Z28" s="10">
        <f t="shared" si="20"/>
        <v>5420.7780000000012</v>
      </c>
      <c r="AA28" s="10">
        <f t="shared" si="20"/>
        <v>5793.5</v>
      </c>
      <c r="AB28" s="18">
        <f t="shared" si="20"/>
        <v>5329.6351000000004</v>
      </c>
      <c r="AC28" s="10">
        <f>SUM(AC29:AC38)</f>
        <v>5586.9510000000009</v>
      </c>
      <c r="AD28" s="10">
        <f>SUM(AD29:AD38)</f>
        <v>6855.3509999999987</v>
      </c>
    </row>
    <row r="29" spans="1:30" ht="12">
      <c r="A29" s="26" t="s">
        <v>80</v>
      </c>
      <c r="B29" s="31"/>
      <c r="C29" s="31"/>
      <c r="D29" s="31"/>
      <c r="E29" s="31"/>
      <c r="F29" s="31"/>
      <c r="G29" s="31"/>
      <c r="H29" s="12">
        <f>+((H27/E27)^(1/3)-1)</f>
        <v>1.8505335959970282E-2</v>
      </c>
      <c r="I29" s="12">
        <f>+((I27/F27)^(1/3)-1)</f>
        <v>-1.5163205956644659</v>
      </c>
      <c r="J29" s="12">
        <f>+((J27/F27)^(1/3)-1)</f>
        <v>-0.44399770207127331</v>
      </c>
      <c r="K29" s="12">
        <f>+((K27/G27)^(1/3)-1)</f>
        <v>-0.30498592347222586</v>
      </c>
      <c r="L29" s="176" t="s">
        <v>178</v>
      </c>
      <c r="M29" s="12">
        <f>+((M27/I27)^(1/3)-1)</f>
        <v>0.71463601893416895</v>
      </c>
      <c r="N29" s="12"/>
      <c r="O29" s="12"/>
      <c r="Q29" s="6" t="s">
        <v>33</v>
      </c>
      <c r="R29" s="11">
        <v>1395.806</v>
      </c>
      <c r="S29" s="11">
        <v>1015.442</v>
      </c>
      <c r="T29" s="11">
        <v>857.75900000000001</v>
      </c>
      <c r="U29" s="11">
        <v>825.00099999999998</v>
      </c>
      <c r="V29" s="23">
        <v>1190.749</v>
      </c>
      <c r="W29" s="11">
        <v>1685.5119999999999</v>
      </c>
      <c r="X29" s="11">
        <v>1426.9659999999999</v>
      </c>
      <c r="Y29" s="11">
        <v>1470.998</v>
      </c>
      <c r="Z29" s="1">
        <v>1690.434</v>
      </c>
      <c r="AA29" s="1">
        <v>2451.0300000000002</v>
      </c>
      <c r="AB29" s="165">
        <f>19478.26/10</f>
        <v>1947.8259999999998</v>
      </c>
      <c r="AC29" s="1">
        <v>2024.3710000000001</v>
      </c>
      <c r="AD29" s="1">
        <v>1534.61</v>
      </c>
    </row>
    <row r="30" spans="1:30">
      <c r="A30" s="6" t="s">
        <v>10</v>
      </c>
      <c r="B30" s="1"/>
      <c r="C30" s="1"/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/>
      <c r="L30" s="6"/>
      <c r="M30" s="6"/>
      <c r="N30" s="6"/>
      <c r="O30" s="6"/>
      <c r="Q30" s="6" t="s">
        <v>88</v>
      </c>
      <c r="R30" s="11"/>
      <c r="S30" s="11"/>
      <c r="T30" s="11"/>
      <c r="U30" s="11"/>
      <c r="V30" s="23"/>
      <c r="W30" s="11"/>
      <c r="X30" s="11"/>
      <c r="Y30" s="11"/>
      <c r="Z30" s="1"/>
      <c r="AA30" s="1"/>
      <c r="AB30" s="165"/>
      <c r="AC30" s="1"/>
      <c r="AD30" s="1"/>
    </row>
    <row r="31" spans="1:30">
      <c r="A31" s="6" t="s">
        <v>100</v>
      </c>
      <c r="B31" s="1">
        <v>825.95399999999995</v>
      </c>
      <c r="C31" s="1">
        <v>1976.42</v>
      </c>
      <c r="D31" s="1">
        <v>1700.3920000000001</v>
      </c>
      <c r="E31" s="1">
        <v>1561.136</v>
      </c>
      <c r="F31" s="1">
        <v>2313.4699999999998</v>
      </c>
      <c r="G31" s="1">
        <v>64.912999999999997</v>
      </c>
      <c r="H31" s="1">
        <v>2598.0729999999999</v>
      </c>
      <c r="I31" s="1">
        <v>1536.7739999999999</v>
      </c>
      <c r="J31" s="1">
        <v>2307.0219999999999</v>
      </c>
      <c r="K31" s="1">
        <v>3358.5</v>
      </c>
      <c r="L31" s="124">
        <f>21161.03/10</f>
        <v>2116.1030000000001</v>
      </c>
      <c r="M31" s="124">
        <v>2209.1590000000001</v>
      </c>
      <c r="N31" s="124">
        <v>3731.616</v>
      </c>
      <c r="O31" s="124">
        <v>615.43299999999999</v>
      </c>
      <c r="Q31" s="6" t="s">
        <v>97</v>
      </c>
      <c r="R31" s="11">
        <v>0</v>
      </c>
      <c r="S31" s="11"/>
      <c r="T31" s="11">
        <v>0</v>
      </c>
      <c r="U31" s="11">
        <v>0</v>
      </c>
      <c r="V31" s="23">
        <v>0</v>
      </c>
      <c r="W31" s="11">
        <v>0</v>
      </c>
      <c r="X31" s="11">
        <v>0</v>
      </c>
      <c r="Y31" s="11"/>
      <c r="Z31" s="1" t="s">
        <v>182</v>
      </c>
      <c r="AA31" s="1" t="s">
        <v>182</v>
      </c>
      <c r="AB31" s="1" t="s">
        <v>182</v>
      </c>
      <c r="AC31" s="6" t="s">
        <v>182</v>
      </c>
      <c r="AD31" s="6">
        <v>3447.125</v>
      </c>
    </row>
    <row r="32" spans="1:30">
      <c r="A32" s="6" t="s">
        <v>57</v>
      </c>
      <c r="B32" s="1"/>
      <c r="C32" s="1"/>
      <c r="D32" s="1">
        <v>0</v>
      </c>
      <c r="E32" s="1">
        <v>-0.19</v>
      </c>
      <c r="F32" s="1"/>
      <c r="G32" s="1">
        <v>-2</v>
      </c>
      <c r="H32" s="1">
        <v>-5</v>
      </c>
      <c r="I32" s="1">
        <v>0</v>
      </c>
      <c r="J32" s="1">
        <v>-0.94899999999999995</v>
      </c>
      <c r="K32" s="1">
        <v>-3.33</v>
      </c>
      <c r="L32" s="6">
        <f>50.33/10</f>
        <v>5.0329999999999995</v>
      </c>
      <c r="M32" s="8">
        <v>-6.0110000000000001</v>
      </c>
      <c r="N32" s="8">
        <v>-270.66199999999998</v>
      </c>
      <c r="O32" s="8">
        <v>4.7709999999999999</v>
      </c>
      <c r="Q32" s="6" t="s">
        <v>98</v>
      </c>
      <c r="R32" s="11">
        <v>3314.029</v>
      </c>
      <c r="S32" s="11">
        <v>4682.3500000000004</v>
      </c>
      <c r="T32" s="11">
        <v>2534.5410000000002</v>
      </c>
      <c r="U32" s="11">
        <v>1474.7760000000001</v>
      </c>
      <c r="V32" s="23">
        <v>2153.8620000000001</v>
      </c>
      <c r="W32" s="11">
        <v>2535.8029999999999</v>
      </c>
      <c r="X32" s="11">
        <v>3203.7310000000002</v>
      </c>
      <c r="Y32" s="11">
        <v>2971.8319999999999</v>
      </c>
      <c r="Z32" s="1">
        <v>3292.8609999999999</v>
      </c>
      <c r="AA32" s="1">
        <v>2887.19</v>
      </c>
      <c r="AB32" s="1">
        <f>20585.251/10</f>
        <v>2058.5250999999998</v>
      </c>
      <c r="AC32" s="1">
        <v>2282.5430000000001</v>
      </c>
      <c r="AD32" s="1">
        <v>1086.5429999999999</v>
      </c>
    </row>
    <row r="33" spans="1:31">
      <c r="A33" s="25" t="s">
        <v>103</v>
      </c>
      <c r="B33" s="32">
        <f t="shared" ref="B33:J33" si="21">(B27-B30+B32+B31)</f>
        <v>99.127999999999815</v>
      </c>
      <c r="C33" s="32">
        <f t="shared" si="21"/>
        <v>1815.2459999999999</v>
      </c>
      <c r="D33" s="32">
        <f t="shared" si="21"/>
        <v>1957.1339999999991</v>
      </c>
      <c r="E33" s="32">
        <f t="shared" si="21"/>
        <v>2655.9830000000011</v>
      </c>
      <c r="F33" s="32">
        <f t="shared" si="21"/>
        <v>3580.2130000000016</v>
      </c>
      <c r="G33" s="32">
        <f t="shared" si="21"/>
        <v>1639.1540000000005</v>
      </c>
      <c r="H33" s="32">
        <f t="shared" si="21"/>
        <v>3750.034000000001</v>
      </c>
      <c r="I33" s="32">
        <f t="shared" si="21"/>
        <v>1362.4140000000002</v>
      </c>
      <c r="J33" s="32">
        <f t="shared" si="21"/>
        <v>2523.8030000000012</v>
      </c>
      <c r="K33" s="32">
        <f>(K27-K30+K32+K31)</f>
        <v>3884.3499999999995</v>
      </c>
      <c r="L33" s="32">
        <f>(L27-L30+L32+L31)</f>
        <v>1071.4109999999996</v>
      </c>
      <c r="M33" s="32">
        <f>(M27-M30+M32+M31)</f>
        <v>1324.201</v>
      </c>
      <c r="N33" s="32">
        <f>N27+N31+N32</f>
        <v>2376.6979999999999</v>
      </c>
      <c r="O33" s="32">
        <f>O27+O31+O32</f>
        <v>106.12500000000004</v>
      </c>
      <c r="Q33" s="6" t="s">
        <v>99</v>
      </c>
      <c r="R33" s="11">
        <v>100.908</v>
      </c>
      <c r="S33" s="11">
        <v>44.158999999999999</v>
      </c>
      <c r="T33" s="11">
        <v>200.488</v>
      </c>
      <c r="U33" s="11">
        <v>121.81399999999999</v>
      </c>
      <c r="V33" s="23">
        <v>124.983</v>
      </c>
      <c r="W33" s="11">
        <v>190.02099999999999</v>
      </c>
      <c r="X33" s="11">
        <v>123.881</v>
      </c>
      <c r="Y33" s="11">
        <v>108.486</v>
      </c>
      <c r="Z33" s="1">
        <v>74.340999999999994</v>
      </c>
      <c r="AA33" s="1">
        <v>132.38</v>
      </c>
      <c r="AB33" s="1">
        <f>2747.81/10</f>
        <v>274.78100000000001</v>
      </c>
      <c r="AC33" s="1">
        <v>166.84100000000001</v>
      </c>
      <c r="AD33" s="1">
        <v>125.471</v>
      </c>
    </row>
    <row r="34" spans="1:31" ht="12">
      <c r="A34" s="26" t="s">
        <v>1</v>
      </c>
      <c r="B34" s="12"/>
      <c r="C34" s="12">
        <f t="shared" ref="C34:H34" si="22">(C33/B33-1)</f>
        <v>17.312141877168944</v>
      </c>
      <c r="D34" s="12">
        <f t="shared" si="22"/>
        <v>7.8164612399641342E-2</v>
      </c>
      <c r="E34" s="12">
        <f t="shared" si="22"/>
        <v>0.35707774735914977</v>
      </c>
      <c r="F34" s="12">
        <f t="shared" si="22"/>
        <v>0.34798038993472469</v>
      </c>
      <c r="G34" s="12">
        <f t="shared" si="22"/>
        <v>-0.54216299421291425</v>
      </c>
      <c r="H34" s="12">
        <f t="shared" si="22"/>
        <v>1.2877862604733905</v>
      </c>
      <c r="I34" s="12">
        <f>(I33/H33-1)</f>
        <v>-0.63669289398442785</v>
      </c>
      <c r="J34" s="12">
        <f>(J33/H33-1)</f>
        <v>-0.32699196860615121</v>
      </c>
      <c r="K34" s="12">
        <f>(K33/J33-1)</f>
        <v>0.53908605386394948</v>
      </c>
      <c r="L34" s="12">
        <f>(L33/K33-1)</f>
        <v>-0.72417238405396023</v>
      </c>
      <c r="M34" s="12">
        <f>(M33/L33-1)</f>
        <v>0.23594120276905928</v>
      </c>
      <c r="N34" s="12">
        <f>(N33/M33-1)</f>
        <v>0.79481664792580564</v>
      </c>
      <c r="O34" s="12">
        <f>(O33/N33-1)</f>
        <v>-0.95534771350840531</v>
      </c>
      <c r="P34" s="19"/>
      <c r="Q34" s="6" t="s">
        <v>101</v>
      </c>
      <c r="R34" s="11">
        <v>0</v>
      </c>
      <c r="S34" s="11">
        <v>0</v>
      </c>
      <c r="T34" s="11">
        <v>0</v>
      </c>
      <c r="U34" s="11">
        <v>33.752000000000002</v>
      </c>
      <c r="V34" s="23">
        <v>32.369999999999997</v>
      </c>
      <c r="W34" s="11">
        <v>35.718000000000004</v>
      </c>
      <c r="X34" s="11">
        <v>28.638000000000002</v>
      </c>
      <c r="Y34" s="11">
        <v>59.786000000000001</v>
      </c>
      <c r="Z34" s="1">
        <v>30.33</v>
      </c>
      <c r="AA34" s="1">
        <v>53.78</v>
      </c>
      <c r="AB34" s="1">
        <f>7104.78/10</f>
        <v>710.47799999999995</v>
      </c>
      <c r="AC34" s="1">
        <v>772.83</v>
      </c>
      <c r="AD34" s="1">
        <v>16.399999999999999</v>
      </c>
    </row>
    <row r="35" spans="1:31" ht="12">
      <c r="A35" s="26" t="s">
        <v>106</v>
      </c>
      <c r="B35" s="12"/>
      <c r="C35" s="12"/>
      <c r="D35" s="12"/>
      <c r="E35" s="12"/>
      <c r="F35" s="12">
        <f>+((F33/C33)^(1/3)-1)</f>
        <v>0.25407773933032551</v>
      </c>
      <c r="G35" s="12">
        <f>+((G33/D33)^(1/3)-1)</f>
        <v>-5.7387780577308645E-2</v>
      </c>
      <c r="H35" s="12">
        <f>+((H33/E33)^(1/3)-1)</f>
        <v>0.1218547681140707</v>
      </c>
      <c r="I35" s="12">
        <f>+((I33/F33)^(1/3)-1)</f>
        <v>-0.27534146637750834</v>
      </c>
      <c r="J35" s="12">
        <f t="shared" ref="J35:O35" si="23">+((J33/F33)^(1/3)-1)</f>
        <v>-0.11001600685074353</v>
      </c>
      <c r="K35" s="12">
        <f t="shared" si="23"/>
        <v>0.33321297753006474</v>
      </c>
      <c r="L35" s="12">
        <f t="shared" si="23"/>
        <v>-0.34137183505719371</v>
      </c>
      <c r="M35" s="12">
        <f t="shared" si="23"/>
        <v>-9.4381344376990306E-3</v>
      </c>
      <c r="N35" s="12">
        <f t="shared" si="23"/>
        <v>-1.9819218918972759E-2</v>
      </c>
      <c r="O35" s="12">
        <f t="shared" si="23"/>
        <v>-0.69881515448026499</v>
      </c>
      <c r="P35" s="19"/>
      <c r="Q35" s="6" t="s">
        <v>102</v>
      </c>
      <c r="R35" s="11">
        <v>757.37400000000002</v>
      </c>
      <c r="S35" s="11">
        <v>1045.056</v>
      </c>
      <c r="T35" s="11">
        <v>573.38400000000001</v>
      </c>
      <c r="U35" s="11">
        <v>45</v>
      </c>
      <c r="V35" s="23">
        <v>115.164</v>
      </c>
      <c r="W35" s="11">
        <v>179.60499999999999</v>
      </c>
      <c r="X35" s="11">
        <v>144.06299999999999</v>
      </c>
      <c r="Y35" s="11">
        <v>83.287999999999997</v>
      </c>
      <c r="Z35" s="1">
        <v>92.113</v>
      </c>
      <c r="AA35" s="1">
        <v>29.83</v>
      </c>
      <c r="AB35" s="1">
        <f>210.82/10</f>
        <v>21.082000000000001</v>
      </c>
      <c r="AC35" s="1">
        <v>3.4609999999999999</v>
      </c>
      <c r="AD35" s="1">
        <v>225.80699999999999</v>
      </c>
    </row>
    <row r="36" spans="1:31">
      <c r="A36" s="20" t="s">
        <v>11</v>
      </c>
      <c r="B36" s="13">
        <v>5.22</v>
      </c>
      <c r="C36" s="13">
        <v>78.16</v>
      </c>
      <c r="D36" s="13">
        <v>61.88</v>
      </c>
      <c r="E36" s="13">
        <v>72.84</v>
      </c>
      <c r="F36" s="13">
        <v>77.930000000000007</v>
      </c>
      <c r="G36" s="13">
        <v>31.62</v>
      </c>
      <c r="H36" s="13">
        <v>72.34</v>
      </c>
      <c r="I36" s="13">
        <v>26.28</v>
      </c>
      <c r="J36" s="13">
        <v>48.69</v>
      </c>
      <c r="K36" s="13">
        <v>74.94</v>
      </c>
      <c r="L36" s="20">
        <v>20.67</v>
      </c>
      <c r="M36" s="20">
        <v>25.55</v>
      </c>
      <c r="N36" s="20">
        <v>42.81</v>
      </c>
      <c r="O36" s="20">
        <v>1.75</v>
      </c>
      <c r="P36" s="19"/>
      <c r="Q36" s="6" t="s">
        <v>104</v>
      </c>
      <c r="R36" s="11">
        <v>12.871</v>
      </c>
      <c r="S36" s="11">
        <v>0</v>
      </c>
      <c r="T36" s="11">
        <v>0</v>
      </c>
      <c r="U36" s="11">
        <v>176.99100000000001</v>
      </c>
      <c r="V36" s="23">
        <v>38.762999999999998</v>
      </c>
      <c r="W36" s="11">
        <v>49.872999999999998</v>
      </c>
      <c r="X36" s="11">
        <v>31.358000000000001</v>
      </c>
      <c r="Y36" s="11">
        <v>25.905000000000001</v>
      </c>
      <c r="Z36" s="1">
        <v>43.817999999999998</v>
      </c>
      <c r="AA36" s="121">
        <v>21.33</v>
      </c>
      <c r="AB36" s="121">
        <f>196.5/10</f>
        <v>19.649999999999999</v>
      </c>
      <c r="AC36" s="121">
        <v>13.486000000000001</v>
      </c>
      <c r="AD36" s="121">
        <v>245.64699999999999</v>
      </c>
    </row>
    <row r="37" spans="1:31">
      <c r="A37" s="33" t="s">
        <v>1</v>
      </c>
      <c r="B37" s="34"/>
      <c r="C37" s="34">
        <f t="shared" ref="C37:H37" si="24">(C36/B36-1)</f>
        <v>13.973180076628353</v>
      </c>
      <c r="D37" s="34">
        <f t="shared" si="24"/>
        <v>-0.20829068577277376</v>
      </c>
      <c r="E37" s="34">
        <f t="shared" si="24"/>
        <v>0.17711700064641245</v>
      </c>
      <c r="F37" s="34">
        <f t="shared" si="24"/>
        <v>6.9879187259747511E-2</v>
      </c>
      <c r="G37" s="34">
        <f t="shared" si="24"/>
        <v>-0.59425125112280253</v>
      </c>
      <c r="H37" s="34">
        <f t="shared" si="24"/>
        <v>1.2877925363693863</v>
      </c>
      <c r="I37" s="34">
        <f>(I36/H36-1)</f>
        <v>-0.63671551009123584</v>
      </c>
      <c r="J37" s="34">
        <f>(J36/H36-1)</f>
        <v>-0.32692839369643356</v>
      </c>
      <c r="K37" s="34">
        <f>(K36/J36-1)</f>
        <v>0.53912507701786816</v>
      </c>
      <c r="L37" s="34">
        <f t="shared" ref="L37:M37" si="25">(L36/K36-1)</f>
        <v>-0.72417934347477986</v>
      </c>
      <c r="M37" s="34">
        <f t="shared" si="25"/>
        <v>0.23609095307208516</v>
      </c>
      <c r="N37" s="34">
        <f>(N36/M36-1)</f>
        <v>0.6755381604696673</v>
      </c>
      <c r="O37" s="34">
        <f>(O36/N36-1)</f>
        <v>-0.95912170053725765</v>
      </c>
      <c r="P37" s="19"/>
      <c r="Q37" s="6" t="s">
        <v>105</v>
      </c>
      <c r="R37" s="11"/>
      <c r="S37" s="11">
        <v>0</v>
      </c>
      <c r="T37" s="11">
        <v>0</v>
      </c>
      <c r="U37" s="11">
        <v>95.442999999999998</v>
      </c>
      <c r="V37" s="23">
        <v>41.332000000000001</v>
      </c>
      <c r="W37" s="11">
        <v>11.147</v>
      </c>
      <c r="X37" s="11">
        <v>0</v>
      </c>
      <c r="Y37" s="11"/>
      <c r="Z37" s="1">
        <v>4.8810000000000002</v>
      </c>
      <c r="AA37" s="1">
        <v>15.39</v>
      </c>
      <c r="AB37" s="1">
        <f>398.37/10</f>
        <v>39.837000000000003</v>
      </c>
      <c r="AC37" s="1">
        <v>14.340999999999999</v>
      </c>
      <c r="AD37" s="1">
        <v>21.027000000000001</v>
      </c>
    </row>
    <row r="38" spans="1:31" ht="12">
      <c r="A38" s="33" t="s">
        <v>106</v>
      </c>
      <c r="B38" s="35"/>
      <c r="C38" s="35"/>
      <c r="D38" s="35"/>
      <c r="E38" s="35"/>
      <c r="F38" s="12">
        <f>+((F36/C36)^(1/3)-1)</f>
        <v>-9.8185762174052282E-4</v>
      </c>
      <c r="G38" s="12">
        <f>+((G36/D36)^(1/3)-1)</f>
        <v>-0.20052690373479998</v>
      </c>
      <c r="H38" s="12">
        <f>+((H36/E36)^(1/3)-1)</f>
        <v>-2.2933756316049214E-3</v>
      </c>
      <c r="I38" s="12">
        <f>+((I36/F36)^(1/3)-1)</f>
        <v>-0.3039503359128084</v>
      </c>
      <c r="J38" s="12">
        <f>+((J36/F36)^(1/3)-1)</f>
        <v>-0.14510712123348524</v>
      </c>
      <c r="K38" s="12">
        <f>+((K36/G36)^(1/3)-1)</f>
        <v>0.33326744350760329</v>
      </c>
      <c r="L38" s="12">
        <f t="shared" ref="L38:M38" si="26">+((L36/H36)^(1/3)-1)</f>
        <v>-0.34135106984682284</v>
      </c>
      <c r="M38" s="12">
        <f t="shared" si="26"/>
        <v>-9.3463412061450812E-3</v>
      </c>
      <c r="N38" s="12">
        <f>+((N36/J36)^(1/3)-1)</f>
        <v>-4.1993436720770938E-2</v>
      </c>
      <c r="O38" s="12">
        <f>+((O36/K36)^(1/3)-1)</f>
        <v>-0.71416979553362059</v>
      </c>
      <c r="Q38" s="6" t="s">
        <v>55</v>
      </c>
      <c r="R38" s="11"/>
      <c r="S38" s="11">
        <v>12.648999999999999</v>
      </c>
      <c r="T38" s="11">
        <v>13.144</v>
      </c>
      <c r="U38" s="11">
        <v>342.05599999999998</v>
      </c>
      <c r="V38" s="23">
        <v>261.26799999999997</v>
      </c>
      <c r="W38" s="11">
        <v>222.62100000000001</v>
      </c>
      <c r="X38" s="11">
        <v>160.023</v>
      </c>
      <c r="Y38" s="11">
        <v>155.041</v>
      </c>
      <c r="Z38" s="1">
        <v>192</v>
      </c>
      <c r="AA38" s="1">
        <v>202.57</v>
      </c>
      <c r="AB38" s="1">
        <f>2574.56/10</f>
        <v>257.45600000000002</v>
      </c>
      <c r="AC38" s="1">
        <v>309.07799999999997</v>
      </c>
      <c r="AD38" s="1">
        <v>152.721</v>
      </c>
    </row>
    <row r="39" spans="1:31">
      <c r="Q39" s="25" t="s">
        <v>34</v>
      </c>
      <c r="R39" s="10">
        <f t="shared" ref="R39:AC39" si="27">SUM(R40:R46)</f>
        <v>3442.1549999999993</v>
      </c>
      <c r="S39" s="10">
        <f t="shared" si="27"/>
        <v>2906.3810000000003</v>
      </c>
      <c r="T39" s="10">
        <f t="shared" si="27"/>
        <v>3772.9679999999998</v>
      </c>
      <c r="U39" s="10">
        <f t="shared" si="27"/>
        <v>2145.6289999999999</v>
      </c>
      <c r="V39" s="10">
        <f t="shared" si="27"/>
        <v>2123.9229999999998</v>
      </c>
      <c r="W39" s="10">
        <f t="shared" si="27"/>
        <v>3179.3740000000003</v>
      </c>
      <c r="X39" s="10">
        <f t="shared" si="27"/>
        <v>3533.652</v>
      </c>
      <c r="Y39" s="10">
        <f t="shared" si="27"/>
        <v>3238.3429999999998</v>
      </c>
      <c r="Z39" s="10">
        <f t="shared" si="27"/>
        <v>3497.3849999999998</v>
      </c>
      <c r="AA39" s="10">
        <f t="shared" si="27"/>
        <v>3973.1200000000003</v>
      </c>
      <c r="AB39" s="10">
        <f t="shared" si="27"/>
        <v>4672.8739999999998</v>
      </c>
      <c r="AC39" s="10">
        <f t="shared" si="27"/>
        <v>4697.0560000000005</v>
      </c>
      <c r="AD39" s="10">
        <f>SUM(AD41:AD46)</f>
        <v>2347.5419999999999</v>
      </c>
    </row>
    <row r="40" spans="1:31" ht="14.5">
      <c r="Q40" s="6" t="s">
        <v>107</v>
      </c>
      <c r="R40" s="11"/>
      <c r="S40" s="11"/>
      <c r="T40" s="11"/>
      <c r="U40" s="11"/>
      <c r="V40" s="23"/>
      <c r="W40" s="11"/>
      <c r="X40" s="11"/>
      <c r="Y40" s="11"/>
      <c r="Z40" s="6"/>
      <c r="AA40" s="6"/>
      <c r="AB40" s="6"/>
      <c r="AC40" s="6"/>
      <c r="AD40" s="1"/>
      <c r="AE40" s="180"/>
    </row>
    <row r="41" spans="1:31">
      <c r="A41" s="19" t="s">
        <v>12</v>
      </c>
      <c r="Q41" s="6" t="s">
        <v>108</v>
      </c>
      <c r="R41" s="11">
        <v>1119.2059999999999</v>
      </c>
      <c r="S41" s="11">
        <v>1538.011</v>
      </c>
      <c r="T41" s="11">
        <v>1956.2670000000001</v>
      </c>
      <c r="U41" s="11">
        <v>1839.7</v>
      </c>
      <c r="V41" s="23">
        <v>1680.732</v>
      </c>
      <c r="W41" s="11">
        <v>1975.5</v>
      </c>
      <c r="X41" s="11">
        <f>2144.427+38.194</f>
        <v>2182.6210000000001</v>
      </c>
      <c r="Y41" s="11">
        <f>2376.79+16.779</f>
        <v>2393.569</v>
      </c>
      <c r="Z41" s="1">
        <v>2562.828</v>
      </c>
      <c r="AA41" s="1">
        <v>3248.38</v>
      </c>
      <c r="AB41" s="1">
        <f>39437.35/10</f>
        <v>3943.7349999999997</v>
      </c>
      <c r="AC41" s="1">
        <f>3843.446+144.754</f>
        <v>3988.2</v>
      </c>
      <c r="AD41" s="1">
        <v>2126.991</v>
      </c>
    </row>
    <row r="42" spans="1:31">
      <c r="A42" s="20" t="s">
        <v>0</v>
      </c>
      <c r="B42" s="17" t="s">
        <v>22</v>
      </c>
      <c r="C42" s="17" t="s">
        <v>23</v>
      </c>
      <c r="D42" s="17" t="s">
        <v>24</v>
      </c>
      <c r="E42" s="17" t="s">
        <v>25</v>
      </c>
      <c r="F42" s="17" t="s">
        <v>68</v>
      </c>
      <c r="G42" s="17" t="s">
        <v>75</v>
      </c>
      <c r="H42" s="17" t="s">
        <v>117</v>
      </c>
      <c r="I42" s="17" t="s">
        <v>180</v>
      </c>
      <c r="J42" s="17" t="s">
        <v>183</v>
      </c>
      <c r="K42" s="17" t="s">
        <v>205</v>
      </c>
      <c r="L42" s="17" t="s">
        <v>255</v>
      </c>
      <c r="M42" s="17" t="s">
        <v>260</v>
      </c>
      <c r="N42" s="84" t="s">
        <v>307</v>
      </c>
      <c r="O42" s="17" t="s">
        <v>309</v>
      </c>
      <c r="Q42" s="6" t="s">
        <v>109</v>
      </c>
      <c r="R42" s="11">
        <v>0</v>
      </c>
      <c r="S42" s="11">
        <v>0</v>
      </c>
      <c r="T42" s="11">
        <v>0</v>
      </c>
      <c r="U42" s="11">
        <v>112.946</v>
      </c>
      <c r="V42" s="23">
        <v>243.07499999999999</v>
      </c>
      <c r="W42" s="11">
        <v>358.05099999999999</v>
      </c>
      <c r="X42" s="11">
        <v>783.43</v>
      </c>
      <c r="Y42" s="11">
        <v>391.72300000000001</v>
      </c>
      <c r="Z42" s="1">
        <v>431.76</v>
      </c>
      <c r="AA42" s="1">
        <v>262.86</v>
      </c>
      <c r="AB42" s="1">
        <f>2679.27/10</f>
        <v>267.92700000000002</v>
      </c>
      <c r="AC42" s="1">
        <v>334.637</v>
      </c>
      <c r="AD42" s="1">
        <v>110.355</v>
      </c>
    </row>
    <row r="43" spans="1:31">
      <c r="A43" s="20" t="s">
        <v>13</v>
      </c>
      <c r="B43" s="9">
        <v>65.924000000000007</v>
      </c>
      <c r="C43" s="9">
        <v>100.91</v>
      </c>
      <c r="D43" s="9">
        <v>44.158999999999999</v>
      </c>
      <c r="E43" s="9">
        <v>191.95599999999999</v>
      </c>
      <c r="F43" s="9">
        <v>121.81399999999999</v>
      </c>
      <c r="G43" s="9">
        <f>F48</f>
        <v>124.98299999999992</v>
      </c>
      <c r="H43" s="9">
        <f>G48</f>
        <v>190.02099999999996</v>
      </c>
      <c r="I43" s="9">
        <v>55.517000000000003</v>
      </c>
      <c r="J43" s="9">
        <f>H48</f>
        <v>123.88100000000014</v>
      </c>
      <c r="K43" s="9">
        <f>J48</f>
        <v>74.399000000000129</v>
      </c>
      <c r="L43" s="9">
        <f>K48</f>
        <v>132.44900000000007</v>
      </c>
      <c r="M43" s="9">
        <v>274.78100000000001</v>
      </c>
      <c r="N43" s="36">
        <v>30.536999999999999</v>
      </c>
      <c r="O43" s="9"/>
      <c r="Q43" s="6" t="s">
        <v>262</v>
      </c>
      <c r="R43" s="11"/>
      <c r="S43" s="11"/>
      <c r="T43" s="11"/>
      <c r="U43" s="11"/>
      <c r="V43" s="23"/>
      <c r="W43" s="11"/>
      <c r="X43" s="11"/>
      <c r="Y43" s="11"/>
      <c r="Z43" s="1"/>
      <c r="AA43" s="1"/>
      <c r="AB43" s="165"/>
      <c r="AC43" s="1">
        <v>0.99199999999999999</v>
      </c>
      <c r="AD43" s="1">
        <v>2.548</v>
      </c>
    </row>
    <row r="44" spans="1:31">
      <c r="A44" s="20" t="s">
        <v>14</v>
      </c>
      <c r="B44" s="21">
        <v>1688.242</v>
      </c>
      <c r="C44" s="9">
        <v>-834.02300000000002</v>
      </c>
      <c r="D44" s="21">
        <v>2264.6080000000002</v>
      </c>
      <c r="E44" s="9">
        <v>2172.3159999999998</v>
      </c>
      <c r="F44" s="9">
        <v>642.63099999999997</v>
      </c>
      <c r="G44" s="9">
        <v>1414.4110000000001</v>
      </c>
      <c r="H44" s="9">
        <v>1242.4960000000001</v>
      </c>
      <c r="I44" s="9">
        <v>205.28399999999999</v>
      </c>
      <c r="J44" s="9">
        <v>722.12</v>
      </c>
      <c r="K44" s="9">
        <v>921.96</v>
      </c>
      <c r="L44" s="9">
        <f>8865.84/10</f>
        <v>886.58400000000006</v>
      </c>
      <c r="M44" s="9">
        <v>-605.78800000000001</v>
      </c>
      <c r="N44" s="36">
        <v>-3419.2539999999999</v>
      </c>
      <c r="O44" s="9"/>
      <c r="Q44" s="6" t="s">
        <v>64</v>
      </c>
      <c r="R44" s="11">
        <v>2302.5369999999998</v>
      </c>
      <c r="S44" s="11">
        <v>1315.106</v>
      </c>
      <c r="T44" s="11">
        <v>1798.9469999999999</v>
      </c>
      <c r="U44" s="11">
        <v>141.25299999999999</v>
      </c>
      <c r="V44" s="23">
        <v>113.896</v>
      </c>
      <c r="W44" s="11">
        <v>528.22400000000005</v>
      </c>
      <c r="X44" s="11">
        <v>448.9</v>
      </c>
      <c r="Y44" s="11">
        <v>345.59800000000001</v>
      </c>
      <c r="Z44" s="1">
        <v>478.21199999999999</v>
      </c>
      <c r="AA44" s="1">
        <v>424.9</v>
      </c>
      <c r="AB44" s="165">
        <f>4386.23/10</f>
        <v>438.62299999999993</v>
      </c>
      <c r="AC44" s="1">
        <v>353.66699999999997</v>
      </c>
      <c r="AD44" s="1">
        <v>95.953000000000003</v>
      </c>
    </row>
    <row r="45" spans="1:31">
      <c r="A45" s="6" t="s">
        <v>65</v>
      </c>
      <c r="B45" s="11">
        <v>-1200.932</v>
      </c>
      <c r="C45" s="11">
        <v>-2467.8850000000002</v>
      </c>
      <c r="D45" s="11">
        <v>-2114.962</v>
      </c>
      <c r="E45" s="11">
        <v>-1050.953</v>
      </c>
      <c r="F45" s="11">
        <v>-656.45500000000004</v>
      </c>
      <c r="G45" s="11">
        <v>-1191.191</v>
      </c>
      <c r="H45" s="11">
        <v>-1042.1099999999999</v>
      </c>
      <c r="I45" s="11">
        <v>-199.05</v>
      </c>
      <c r="J45" s="11">
        <v>-701.58600000000001</v>
      </c>
      <c r="K45" s="24">
        <v>-289.67</v>
      </c>
      <c r="L45" s="24">
        <f>-1794.64/10</f>
        <v>-179.464</v>
      </c>
      <c r="M45" s="24">
        <v>1.0720000000000001</v>
      </c>
      <c r="N45" s="126">
        <v>-8423.1769999999997</v>
      </c>
      <c r="O45" s="24"/>
      <c r="Q45" s="6" t="s">
        <v>110</v>
      </c>
      <c r="R45" s="11">
        <v>20.411999999999999</v>
      </c>
      <c r="S45" s="11">
        <v>53.264000000000003</v>
      </c>
      <c r="T45" s="11">
        <v>17.754000000000001</v>
      </c>
      <c r="U45" s="11">
        <v>10.206</v>
      </c>
      <c r="V45" s="23">
        <v>14.316000000000001</v>
      </c>
      <c r="W45" s="11">
        <v>17.087</v>
      </c>
      <c r="X45" s="11">
        <v>18.969000000000001</v>
      </c>
      <c r="Y45" s="11">
        <v>33.837000000000003</v>
      </c>
      <c r="Z45" s="1">
        <v>22.574000000000002</v>
      </c>
      <c r="AA45" s="1">
        <v>26.29</v>
      </c>
      <c r="AB45" s="165">
        <f>217.61/10</f>
        <v>21.761000000000003</v>
      </c>
      <c r="AC45" s="1">
        <v>19.559999999999999</v>
      </c>
      <c r="AD45" s="1">
        <v>9.5559999999999992</v>
      </c>
    </row>
    <row r="46" spans="1:31">
      <c r="A46" s="6" t="s">
        <v>15</v>
      </c>
      <c r="B46" s="11">
        <v>-452.32600000000002</v>
      </c>
      <c r="C46" s="11">
        <v>3245.1570000000002</v>
      </c>
      <c r="D46" s="11">
        <v>6.6829999999999998</v>
      </c>
      <c r="E46" s="11">
        <v>-1191.5050000000001</v>
      </c>
      <c r="F46" s="11">
        <v>16.992999999999999</v>
      </c>
      <c r="G46" s="11">
        <v>-158.18199999999999</v>
      </c>
      <c r="H46" s="11">
        <v>-266.52600000000001</v>
      </c>
      <c r="I46" s="11">
        <v>-49.695999999999998</v>
      </c>
      <c r="J46" s="11">
        <v>-70.016000000000005</v>
      </c>
      <c r="K46" s="24">
        <v>-574.24</v>
      </c>
      <c r="L46" s="24">
        <f>-5647.29/10</f>
        <v>-564.72900000000004</v>
      </c>
      <c r="M46" s="24">
        <v>496.77600000000001</v>
      </c>
      <c r="N46" s="126">
        <v>11937.365</v>
      </c>
      <c r="O46" s="24"/>
      <c r="Q46" s="6" t="s">
        <v>111</v>
      </c>
      <c r="R46" s="11">
        <v>0</v>
      </c>
      <c r="S46" s="11">
        <v>0</v>
      </c>
      <c r="T46" s="11">
        <v>0</v>
      </c>
      <c r="U46" s="11">
        <v>41.524000000000001</v>
      </c>
      <c r="V46" s="23">
        <v>71.903999999999996</v>
      </c>
      <c r="W46" s="11">
        <v>300.512</v>
      </c>
      <c r="X46" s="11">
        <v>99.731999999999999</v>
      </c>
      <c r="Y46" s="11">
        <v>73.616</v>
      </c>
      <c r="Z46" s="1">
        <v>2.0110000000000001</v>
      </c>
      <c r="AA46" s="1">
        <v>10.69</v>
      </c>
      <c r="AB46" s="165">
        <f>8.28/10</f>
        <v>0.82799999999999996</v>
      </c>
      <c r="AC46" s="1">
        <v>0</v>
      </c>
      <c r="AD46" s="1">
        <v>2.1389999999999998</v>
      </c>
    </row>
    <row r="47" spans="1:31">
      <c r="A47" s="20" t="s">
        <v>16</v>
      </c>
      <c r="B47" s="21">
        <f t="shared" ref="B47:L47" si="28">+B44+B45+B46</f>
        <v>34.983999999999924</v>
      </c>
      <c r="C47" s="21">
        <f t="shared" si="28"/>
        <v>-56.751000000000204</v>
      </c>
      <c r="D47" s="21">
        <f t="shared" si="28"/>
        <v>156.32900000000018</v>
      </c>
      <c r="E47" s="21">
        <f t="shared" si="28"/>
        <v>-70.14200000000028</v>
      </c>
      <c r="F47" s="21">
        <f t="shared" si="28"/>
        <v>3.1689999999999294</v>
      </c>
      <c r="G47" s="21">
        <f t="shared" si="28"/>
        <v>65.038000000000039</v>
      </c>
      <c r="H47" s="21">
        <f t="shared" si="28"/>
        <v>-66.139999999999816</v>
      </c>
      <c r="I47" s="21">
        <f t="shared" si="28"/>
        <v>-43.462000000000018</v>
      </c>
      <c r="J47" s="21">
        <f t="shared" si="28"/>
        <v>-49.482000000000014</v>
      </c>
      <c r="K47" s="21">
        <f t="shared" si="28"/>
        <v>58.049999999999955</v>
      </c>
      <c r="L47" s="9">
        <f t="shared" si="28"/>
        <v>142.39100000000008</v>
      </c>
      <c r="M47" s="9">
        <f>+M44+M45+M46</f>
        <v>-107.94</v>
      </c>
      <c r="N47" s="36">
        <f>N44+N45+N46</f>
        <v>94.933999999999287</v>
      </c>
      <c r="O47" s="9"/>
      <c r="Q47" s="25" t="s">
        <v>35</v>
      </c>
      <c r="R47" s="10">
        <f t="shared" ref="R47:AC47" si="29">(R28-R39-R9)</f>
        <v>486.37600000000089</v>
      </c>
      <c r="S47" s="10">
        <f t="shared" si="29"/>
        <v>3369.4329999999995</v>
      </c>
      <c r="T47" s="10">
        <f t="shared" si="29"/>
        <v>260.33600000000087</v>
      </c>
      <c r="U47" s="10">
        <f t="shared" si="29"/>
        <v>734.00800000000015</v>
      </c>
      <c r="V47" s="10">
        <f t="shared" si="29"/>
        <v>1802.8260000000002</v>
      </c>
      <c r="W47" s="10">
        <f t="shared" si="29"/>
        <v>1725.2059999999981</v>
      </c>
      <c r="X47" s="10">
        <f t="shared" si="29"/>
        <v>1579.2860000000007</v>
      </c>
      <c r="Y47" s="10">
        <f t="shared" si="29"/>
        <v>1631.4929999999995</v>
      </c>
      <c r="Z47" s="10">
        <f t="shared" si="29"/>
        <v>1389.8930000000014</v>
      </c>
      <c r="AA47" s="10">
        <f t="shared" si="29"/>
        <v>1128.8399999999997</v>
      </c>
      <c r="AB47" s="18">
        <f t="shared" si="29"/>
        <v>616.48510000000067</v>
      </c>
      <c r="AC47" s="10">
        <f t="shared" si="29"/>
        <v>-85.895999999999617</v>
      </c>
      <c r="AD47" s="10">
        <f>(AD28-AD39-AD9)</f>
        <v>4420.8929999999991</v>
      </c>
    </row>
    <row r="48" spans="1:31">
      <c r="A48" s="20" t="s">
        <v>58</v>
      </c>
      <c r="B48" s="10">
        <f t="shared" ref="B48:L48" si="30">+B43+B47</f>
        <v>100.90799999999993</v>
      </c>
      <c r="C48" s="10">
        <f t="shared" si="30"/>
        <v>44.158999999999793</v>
      </c>
      <c r="D48" s="10">
        <f t="shared" si="30"/>
        <v>200.48800000000017</v>
      </c>
      <c r="E48" s="10">
        <f t="shared" si="30"/>
        <v>121.81399999999971</v>
      </c>
      <c r="F48" s="18">
        <f t="shared" si="30"/>
        <v>124.98299999999992</v>
      </c>
      <c r="G48" s="10">
        <f t="shared" si="30"/>
        <v>190.02099999999996</v>
      </c>
      <c r="H48" s="10">
        <f t="shared" si="30"/>
        <v>123.88100000000014</v>
      </c>
      <c r="I48" s="10">
        <f t="shared" si="30"/>
        <v>12.054999999999986</v>
      </c>
      <c r="J48" s="10">
        <f t="shared" si="30"/>
        <v>74.399000000000129</v>
      </c>
      <c r="K48" s="10">
        <f t="shared" si="30"/>
        <v>132.44900000000007</v>
      </c>
      <c r="L48" s="10">
        <f t="shared" si="30"/>
        <v>274.84000000000015</v>
      </c>
      <c r="M48" s="10">
        <v>166.84100000000001</v>
      </c>
      <c r="N48" s="18">
        <f>N43+N47</f>
        <v>125.47099999999929</v>
      </c>
      <c r="O48" s="10"/>
      <c r="Q48" s="6" t="s">
        <v>112</v>
      </c>
      <c r="R48" s="11">
        <v>0</v>
      </c>
      <c r="S48" s="11">
        <v>2.879</v>
      </c>
      <c r="T48" s="11">
        <v>49.393999999999998</v>
      </c>
      <c r="U48" s="11">
        <v>94.978999999999999</v>
      </c>
      <c r="V48" s="23">
        <v>127.631</v>
      </c>
      <c r="W48" s="11">
        <v>133.68199999999999</v>
      </c>
      <c r="X48" s="11">
        <v>145.08000000000001</v>
      </c>
      <c r="Y48" s="11">
        <v>135.35499999999999</v>
      </c>
      <c r="Z48" s="1">
        <v>156.053</v>
      </c>
      <c r="AA48" s="1">
        <v>53.97</v>
      </c>
      <c r="AB48" s="165">
        <f>549.89/10</f>
        <v>54.988999999999997</v>
      </c>
      <c r="AC48" s="1">
        <v>61.802</v>
      </c>
      <c r="AD48" s="1">
        <v>70.207999999999998</v>
      </c>
    </row>
    <row r="49" spans="1:39">
      <c r="G49" s="37"/>
      <c r="H49" s="37"/>
      <c r="I49" s="37"/>
      <c r="J49" s="37"/>
      <c r="K49" s="37"/>
      <c r="L49" s="37"/>
      <c r="M49" s="37"/>
      <c r="N49" s="37"/>
      <c r="O49" s="234"/>
      <c r="Q49" s="6" t="s">
        <v>262</v>
      </c>
      <c r="R49" s="11"/>
      <c r="S49" s="11"/>
      <c r="T49" s="11"/>
      <c r="U49" s="11"/>
      <c r="V49" s="23"/>
      <c r="W49" s="11"/>
      <c r="X49" s="11"/>
      <c r="Y49" s="11"/>
      <c r="Z49" s="1"/>
      <c r="AA49" s="1"/>
      <c r="AB49" s="165"/>
      <c r="AC49" s="1">
        <v>1.7649999999999999</v>
      </c>
      <c r="AD49" s="1">
        <v>6</v>
      </c>
    </row>
    <row r="50" spans="1:39">
      <c r="A50" s="38" t="s">
        <v>17</v>
      </c>
      <c r="B50" s="17" t="s">
        <v>22</v>
      </c>
      <c r="C50" s="17" t="s">
        <v>23</v>
      </c>
      <c r="D50" s="17" t="s">
        <v>24</v>
      </c>
      <c r="E50" s="17" t="s">
        <v>25</v>
      </c>
      <c r="F50" s="17" t="s">
        <v>68</v>
      </c>
      <c r="G50" s="17" t="s">
        <v>75</v>
      </c>
      <c r="H50" s="84" t="s">
        <v>117</v>
      </c>
      <c r="I50" s="83"/>
      <c r="J50" s="17" t="s">
        <v>183</v>
      </c>
      <c r="K50" s="17" t="s">
        <v>205</v>
      </c>
      <c r="L50" s="17" t="s">
        <v>255</v>
      </c>
      <c r="M50" s="17" t="s">
        <v>260</v>
      </c>
      <c r="N50" s="84" t="s">
        <v>307</v>
      </c>
      <c r="O50" s="17"/>
      <c r="Q50" s="6" t="s">
        <v>113</v>
      </c>
      <c r="R50" s="11">
        <v>276.83100000000002</v>
      </c>
      <c r="S50" s="11">
        <v>303.12</v>
      </c>
      <c r="T50" s="11">
        <v>283.81700000000001</v>
      </c>
      <c r="U50" s="11">
        <v>350.476</v>
      </c>
      <c r="V50" s="23">
        <v>344.40899999999999</v>
      </c>
      <c r="W50" s="11">
        <v>59.904000000000003</v>
      </c>
      <c r="X50" s="11">
        <v>48.462000000000003</v>
      </c>
      <c r="Y50" s="11">
        <v>80.471000000000004</v>
      </c>
      <c r="Z50" s="1">
        <v>0</v>
      </c>
      <c r="AA50" s="1">
        <v>0</v>
      </c>
      <c r="AB50" s="165">
        <v>0</v>
      </c>
      <c r="AC50" s="1">
        <v>0</v>
      </c>
      <c r="AD50" s="1">
        <v>6.6660000000000004</v>
      </c>
      <c r="AE50" s="30"/>
      <c r="AF50" s="30"/>
      <c r="AG50" s="30"/>
      <c r="AH50" s="30"/>
      <c r="AI50" s="30"/>
      <c r="AJ50" s="30"/>
      <c r="AK50" s="30"/>
      <c r="AL50" s="30"/>
      <c r="AM50" s="30"/>
    </row>
    <row r="51" spans="1:39">
      <c r="A51" s="6" t="s">
        <v>18</v>
      </c>
      <c r="B51" s="39"/>
      <c r="C51" s="14"/>
      <c r="D51" s="14"/>
      <c r="E51" s="14">
        <f t="shared" ref="E51:L51" si="31">E44</f>
        <v>2172.3159999999998</v>
      </c>
      <c r="F51" s="14">
        <f t="shared" si="31"/>
        <v>642.63099999999997</v>
      </c>
      <c r="G51" s="14">
        <f t="shared" si="31"/>
        <v>1414.4110000000001</v>
      </c>
      <c r="H51" s="14">
        <f t="shared" si="31"/>
        <v>1242.4960000000001</v>
      </c>
      <c r="I51" s="14">
        <f t="shared" si="31"/>
        <v>205.28399999999999</v>
      </c>
      <c r="J51" s="14">
        <f t="shared" si="31"/>
        <v>722.12</v>
      </c>
      <c r="K51" s="14">
        <f t="shared" si="31"/>
        <v>921.96</v>
      </c>
      <c r="L51" s="14">
        <f t="shared" si="31"/>
        <v>886.58400000000006</v>
      </c>
      <c r="M51" s="14">
        <f>M44</f>
        <v>-605.78800000000001</v>
      </c>
      <c r="N51" s="231">
        <f>N44</f>
        <v>-3419.2539999999999</v>
      </c>
      <c r="O51" s="14"/>
      <c r="Q51" s="6" t="s">
        <v>114</v>
      </c>
      <c r="R51" s="11"/>
      <c r="S51" s="11"/>
      <c r="T51" s="11"/>
      <c r="U51" s="11"/>
      <c r="V51" s="23"/>
      <c r="W51" s="11">
        <v>36.292999999999999</v>
      </c>
      <c r="X51" s="11">
        <v>1.2809999999999999</v>
      </c>
      <c r="Y51" s="24">
        <v>0.98299999999999998</v>
      </c>
      <c r="Z51" s="1">
        <v>5.23</v>
      </c>
      <c r="AA51" s="1">
        <v>16.98</v>
      </c>
      <c r="AB51" s="165">
        <f>271.47/10</f>
        <v>27.147000000000002</v>
      </c>
      <c r="AC51" s="1">
        <v>0</v>
      </c>
      <c r="AD51" s="1">
        <v>0</v>
      </c>
    </row>
    <row r="52" spans="1:39" ht="12">
      <c r="A52" s="6" t="s">
        <v>19</v>
      </c>
      <c r="B52" s="39"/>
      <c r="C52" s="14"/>
      <c r="D52" s="14"/>
      <c r="E52" s="129">
        <f>(U17-T22)+E20</f>
        <v>651.41899999999998</v>
      </c>
      <c r="F52" s="129">
        <f>(V17-U17)+F20</f>
        <v>301.62700000000001</v>
      </c>
      <c r="G52" s="129">
        <f>(W17-V17)+G20</f>
        <v>431.584</v>
      </c>
      <c r="H52" s="129">
        <f>(X17-W17)+H20</f>
        <v>852.00900000000001</v>
      </c>
      <c r="I52" s="129">
        <f>(Y17-X22)+I20</f>
        <v>1288.3319999999999</v>
      </c>
      <c r="J52" s="129">
        <f>(Z17-X17)+J20</f>
        <v>260.11899999999997</v>
      </c>
      <c r="K52" s="129">
        <f>(AA17-Z17)+K20</f>
        <v>546.74099999999999</v>
      </c>
      <c r="L52" s="129">
        <f>(2222.18/10)-(5.03/10)</f>
        <v>221.715</v>
      </c>
      <c r="M52" s="129">
        <v>85.512</v>
      </c>
      <c r="N52" s="232">
        <v>4068.645</v>
      </c>
      <c r="O52" s="129"/>
      <c r="Q52" s="6" t="s">
        <v>115</v>
      </c>
      <c r="R52" s="11">
        <v>0</v>
      </c>
      <c r="S52" s="11"/>
      <c r="T52" s="11">
        <v>6.0960000000000001</v>
      </c>
      <c r="U52" s="11">
        <v>0</v>
      </c>
      <c r="V52" s="23">
        <v>6</v>
      </c>
      <c r="W52" s="11">
        <v>7.65</v>
      </c>
      <c r="X52" s="11">
        <v>9.5500000000000007</v>
      </c>
      <c r="Y52" s="11">
        <v>10.664999999999999</v>
      </c>
      <c r="Z52" s="1">
        <v>12.164999999999999</v>
      </c>
      <c r="AA52" s="165">
        <v>13.16</v>
      </c>
      <c r="AB52" s="1">
        <f>113.73/10</f>
        <v>11.373000000000001</v>
      </c>
      <c r="AC52" s="1">
        <v>17.992999999999999</v>
      </c>
      <c r="AD52" s="1">
        <v>1131.8630000000001</v>
      </c>
    </row>
    <row r="53" spans="1:39" ht="14.5">
      <c r="A53" s="25" t="s">
        <v>20</v>
      </c>
      <c r="B53" s="39"/>
      <c r="C53" s="14"/>
      <c r="D53" s="14"/>
      <c r="E53" s="128">
        <f t="shared" ref="E53:L53" si="32">E51-E52</f>
        <v>1520.8969999999999</v>
      </c>
      <c r="F53" s="128">
        <f t="shared" si="32"/>
        <v>341.00399999999996</v>
      </c>
      <c r="G53" s="128">
        <f t="shared" si="32"/>
        <v>982.827</v>
      </c>
      <c r="H53" s="128">
        <f t="shared" si="32"/>
        <v>390.48700000000008</v>
      </c>
      <c r="I53" s="128">
        <f t="shared" si="32"/>
        <v>-1083.0479999999998</v>
      </c>
      <c r="J53" s="128">
        <f t="shared" si="32"/>
        <v>462.00100000000003</v>
      </c>
      <c r="K53" s="128">
        <f t="shared" si="32"/>
        <v>375.21900000000005</v>
      </c>
      <c r="L53" s="128">
        <f t="shared" si="32"/>
        <v>664.86900000000003</v>
      </c>
      <c r="M53" s="128">
        <f>M51-M52</f>
        <v>-691.3</v>
      </c>
      <c r="N53" s="233">
        <f>N51-N52</f>
        <v>-7487.8989999999994</v>
      </c>
      <c r="O53" s="128"/>
      <c r="Q53" s="20"/>
      <c r="R53" s="9"/>
      <c r="S53" s="9"/>
      <c r="T53" s="9"/>
      <c r="U53" s="9"/>
      <c r="V53" s="36"/>
      <c r="W53" s="9"/>
      <c r="X53" s="9"/>
      <c r="Y53" s="11"/>
      <c r="Z53" s="6"/>
      <c r="AA53" s="166"/>
      <c r="AB53" s="6"/>
      <c r="AC53" s="6"/>
      <c r="AD53" s="6"/>
    </row>
    <row r="54" spans="1:39">
      <c r="A54" s="6"/>
      <c r="B54" s="39"/>
      <c r="C54" s="14"/>
      <c r="D54" s="14"/>
      <c r="E54" s="14"/>
      <c r="F54" s="24"/>
      <c r="G54" s="24"/>
      <c r="H54" s="126"/>
      <c r="I54" s="86"/>
      <c r="J54" s="24"/>
      <c r="K54" s="24"/>
      <c r="L54" s="24"/>
      <c r="M54" s="24"/>
      <c r="N54" s="86"/>
      <c r="O54" s="86"/>
      <c r="Q54" s="25" t="s">
        <v>70</v>
      </c>
      <c r="R54" s="10">
        <f t="shared" ref="R54:W54" si="33">SUM(R15:R26)+R28</f>
        <v>12124.262999999999</v>
      </c>
      <c r="S54" s="10">
        <f t="shared" si="33"/>
        <v>15556.75</v>
      </c>
      <c r="T54" s="10">
        <f t="shared" si="33"/>
        <v>13391.939</v>
      </c>
      <c r="U54" s="10">
        <f t="shared" si="33"/>
        <v>14730.313</v>
      </c>
      <c r="V54" s="10">
        <f t="shared" si="33"/>
        <v>18244.137999999999</v>
      </c>
      <c r="W54" s="10">
        <f t="shared" si="33"/>
        <v>20583.474000000002</v>
      </c>
      <c r="X54" s="10">
        <f t="shared" ref="X54:AD54" si="34">SUM(X15:X27)+X28</f>
        <v>24037.666000000001</v>
      </c>
      <c r="Y54" s="10">
        <f t="shared" si="34"/>
        <v>24496.489999999998</v>
      </c>
      <c r="Z54" s="10">
        <f t="shared" si="34"/>
        <v>27000.317000000003</v>
      </c>
      <c r="AA54" s="18">
        <f t="shared" si="34"/>
        <v>30742.230000000003</v>
      </c>
      <c r="AB54" s="10">
        <f t="shared" si="34"/>
        <v>32010.841100000001</v>
      </c>
      <c r="AC54" s="10">
        <f t="shared" si="34"/>
        <v>34108.758000000002</v>
      </c>
      <c r="AD54" s="10">
        <f t="shared" si="34"/>
        <v>47252.176800000001</v>
      </c>
    </row>
    <row r="55" spans="1:39">
      <c r="A55" s="6"/>
      <c r="B55" s="125"/>
      <c r="C55" s="24"/>
      <c r="D55" s="24"/>
      <c r="E55" s="24"/>
      <c r="F55" s="24"/>
      <c r="G55" s="24"/>
      <c r="H55" s="126"/>
      <c r="I55" s="86"/>
      <c r="J55" s="24"/>
      <c r="K55" s="24"/>
      <c r="L55" s="24"/>
      <c r="M55" s="24"/>
      <c r="N55" s="86"/>
      <c r="O55" s="86"/>
      <c r="Q55" s="25" t="s">
        <v>71</v>
      </c>
      <c r="R55" s="10">
        <f>R52+R39+R10+R6+R48+R53+R50</f>
        <v>12124.262999999999</v>
      </c>
      <c r="S55" s="10">
        <f>S52+S39+S10+S6+S48+S53+S50</f>
        <v>15556.750000000002</v>
      </c>
      <c r="T55" s="10">
        <f>T52+T39+T10+T6+T48+T53+T50</f>
        <v>13391.939000000002</v>
      </c>
      <c r="U55" s="10">
        <f>U52+U39+U10+U6+U48+U53+U50</f>
        <v>14730.314</v>
      </c>
      <c r="V55" s="10">
        <f>V52+V39+V10+V6+V48+V53+V50</f>
        <v>18244.238000000001</v>
      </c>
      <c r="W55" s="10">
        <f>W52+W39+W10+W6+W48+W53+W50+W51</f>
        <v>20583.474000000002</v>
      </c>
      <c r="X55" s="10">
        <f>X52+X39+X10+X6+X48+X53+X50+X51</f>
        <v>24037.655999999999</v>
      </c>
      <c r="Y55" s="10">
        <f>Y52+Y39+Y10+Y6+Y48+Y53+Y50+Y51</f>
        <v>24496.489999999998</v>
      </c>
      <c r="Z55" s="10">
        <f>Z52+Z39+Z10+Z6+Z48+Z53+Z50+Z51</f>
        <v>27000.303000000004</v>
      </c>
      <c r="AA55" s="18">
        <f>AA52+AA39+AA10+AA6+AA48+AA53+AA50+AA51</f>
        <v>30742.250000000004</v>
      </c>
      <c r="AB55" s="10">
        <f>AB52+AB39+AB10+AB6+AB48+AB53+AB50+AB51+AB7</f>
        <v>32010.839000000004</v>
      </c>
      <c r="AC55" s="10">
        <f>AC52+AC39+AC10+AC6+AC48+AC53+AC50+AC51+AC7+AC49</f>
        <v>34108.759000000005</v>
      </c>
      <c r="AD55" s="10">
        <f>AD52+AD39+AD10+AD6+AD48+AD53+AD50+AD51+AD7+AD49</f>
        <v>47258.161999999989</v>
      </c>
    </row>
    <row r="56" spans="1:39">
      <c r="A56" s="20"/>
      <c r="B56" s="127"/>
      <c r="C56" s="9"/>
      <c r="D56" s="9"/>
      <c r="E56" s="9"/>
      <c r="F56" s="9"/>
      <c r="G56" s="9"/>
      <c r="H56" s="36"/>
      <c r="I56" s="87"/>
      <c r="J56" s="36"/>
      <c r="K56" s="9"/>
      <c r="L56" s="9"/>
      <c r="M56" s="9"/>
      <c r="N56" s="87"/>
      <c r="O56" s="87"/>
      <c r="Q56" s="19" t="s">
        <v>36</v>
      </c>
      <c r="Y56" s="48"/>
      <c r="AB56" s="6"/>
      <c r="AC56" s="6"/>
    </row>
    <row r="57" spans="1:39" ht="14.5">
      <c r="A57" s="6"/>
      <c r="B57" s="125"/>
      <c r="C57" s="24"/>
      <c r="D57" s="24"/>
      <c r="E57" s="24"/>
      <c r="F57" s="24"/>
      <c r="G57" s="24"/>
      <c r="H57" s="126"/>
      <c r="I57" s="86"/>
      <c r="J57" s="24"/>
      <c r="K57" s="24"/>
      <c r="L57" s="24"/>
      <c r="M57" s="24"/>
      <c r="N57" s="86"/>
      <c r="O57" s="86"/>
      <c r="Q57" s="20" t="s">
        <v>37</v>
      </c>
      <c r="R57" s="4" t="s">
        <v>22</v>
      </c>
      <c r="S57" s="4" t="s">
        <v>23</v>
      </c>
      <c r="T57" s="4" t="s">
        <v>24</v>
      </c>
      <c r="U57" s="4" t="s">
        <v>25</v>
      </c>
      <c r="V57" s="4" t="s">
        <v>68</v>
      </c>
      <c r="W57" s="4" t="s">
        <v>75</v>
      </c>
      <c r="X57" s="4" t="s">
        <v>117</v>
      </c>
      <c r="Y57" s="122"/>
      <c r="Z57" s="4" t="s">
        <v>183</v>
      </c>
      <c r="AA57" s="169" t="s">
        <v>205</v>
      </c>
      <c r="AB57" s="4" t="s">
        <v>255</v>
      </c>
      <c r="AC57" s="175" t="s">
        <v>260</v>
      </c>
      <c r="AD57" s="175" t="s">
        <v>308</v>
      </c>
      <c r="AE57" s="175" t="s">
        <v>309</v>
      </c>
    </row>
    <row r="58" spans="1:39">
      <c r="A58" s="20"/>
      <c r="B58" s="127"/>
      <c r="C58" s="9"/>
      <c r="D58" s="9"/>
      <c r="E58" s="9"/>
      <c r="F58" s="9"/>
      <c r="G58" s="9"/>
      <c r="H58" s="36"/>
      <c r="I58" s="36"/>
      <c r="J58" s="36"/>
      <c r="K58" s="9"/>
      <c r="L58" s="9"/>
      <c r="M58" s="9"/>
      <c r="N58" s="87"/>
      <c r="O58" s="87"/>
      <c r="Q58" s="40" t="s">
        <v>38</v>
      </c>
      <c r="R58" s="41">
        <v>84.05</v>
      </c>
      <c r="S58" s="41">
        <v>137.94999999999999</v>
      </c>
      <c r="T58" s="41">
        <v>110.8</v>
      </c>
      <c r="U58" s="41">
        <v>281.95</v>
      </c>
      <c r="V58" s="41">
        <v>418.2</v>
      </c>
      <c r="W58" s="41">
        <v>495.45</v>
      </c>
      <c r="X58" s="41">
        <v>272.85000000000002</v>
      </c>
      <c r="Y58" s="2">
        <v>506.95</v>
      </c>
      <c r="Z58" s="20">
        <v>417.8</v>
      </c>
      <c r="AA58" s="173">
        <v>489.65</v>
      </c>
      <c r="AB58" s="20">
        <v>283.7</v>
      </c>
      <c r="AC58" s="20">
        <v>303.39999999999998</v>
      </c>
      <c r="AD58" s="20">
        <v>624.70000000000005</v>
      </c>
      <c r="AE58" s="20">
        <v>574.5</v>
      </c>
    </row>
    <row r="59" spans="1:39">
      <c r="A59" s="2" t="s">
        <v>21</v>
      </c>
      <c r="G59" s="48"/>
      <c r="H59" s="48"/>
      <c r="I59" s="48"/>
      <c r="J59" s="48"/>
      <c r="K59" s="48"/>
      <c r="L59" s="48"/>
      <c r="M59" s="48"/>
      <c r="N59" s="48"/>
      <c r="O59" s="48"/>
      <c r="Q59" s="32" t="s">
        <v>39</v>
      </c>
      <c r="R59" s="42">
        <f t="shared" ref="R59:AC59" si="35">B36</f>
        <v>5.22</v>
      </c>
      <c r="S59" s="42">
        <f t="shared" si="35"/>
        <v>78.16</v>
      </c>
      <c r="T59" s="42">
        <f t="shared" si="35"/>
        <v>61.88</v>
      </c>
      <c r="U59" s="42">
        <f t="shared" si="35"/>
        <v>72.84</v>
      </c>
      <c r="V59" s="42">
        <f t="shared" si="35"/>
        <v>77.930000000000007</v>
      </c>
      <c r="W59" s="42">
        <f t="shared" si="35"/>
        <v>31.62</v>
      </c>
      <c r="X59" s="42">
        <f t="shared" si="35"/>
        <v>72.34</v>
      </c>
      <c r="Y59" s="88">
        <f t="shared" si="35"/>
        <v>26.28</v>
      </c>
      <c r="Z59" s="42">
        <f t="shared" si="35"/>
        <v>48.69</v>
      </c>
      <c r="AA59" s="88">
        <f t="shared" si="35"/>
        <v>74.94</v>
      </c>
      <c r="AB59" s="42">
        <f t="shared" si="35"/>
        <v>20.67</v>
      </c>
      <c r="AC59" s="42">
        <f t="shared" si="35"/>
        <v>25.55</v>
      </c>
      <c r="AD59" s="42">
        <v>42.81</v>
      </c>
      <c r="AE59" s="42">
        <v>1.75</v>
      </c>
    </row>
    <row r="60" spans="1:39">
      <c r="A60" s="20" t="s">
        <v>0</v>
      </c>
      <c r="B60" s="17" t="s">
        <v>22</v>
      </c>
      <c r="C60" s="17" t="s">
        <v>23</v>
      </c>
      <c r="D60" s="17" t="s">
        <v>24</v>
      </c>
      <c r="E60" s="17" t="s">
        <v>25</v>
      </c>
      <c r="F60" s="17" t="s">
        <v>68</v>
      </c>
      <c r="G60" s="17" t="s">
        <v>75</v>
      </c>
      <c r="H60" s="17" t="s">
        <v>117</v>
      </c>
      <c r="I60" s="17" t="s">
        <v>180</v>
      </c>
      <c r="J60" s="17" t="s">
        <v>183</v>
      </c>
      <c r="K60" s="17" t="s">
        <v>205</v>
      </c>
      <c r="L60" s="17" t="s">
        <v>255</v>
      </c>
      <c r="M60" s="17" t="s">
        <v>260</v>
      </c>
      <c r="N60" s="17" t="s">
        <v>308</v>
      </c>
      <c r="O60" s="190" t="s">
        <v>309</v>
      </c>
      <c r="Q60" s="43" t="s">
        <v>40</v>
      </c>
      <c r="R60" s="44">
        <v>0</v>
      </c>
      <c r="S60" s="44">
        <v>0</v>
      </c>
      <c r="T60" s="44">
        <f t="shared" ref="T60:AC60" si="36">(T6*1000000)/D61</f>
        <v>242.75457231540656</v>
      </c>
      <c r="U60" s="44">
        <f t="shared" si="36"/>
        <v>370.81023451018143</v>
      </c>
      <c r="V60" s="44">
        <f t="shared" si="36"/>
        <v>464.45750424605569</v>
      </c>
      <c r="W60" s="44">
        <f t="shared" si="36"/>
        <v>500.04206553283598</v>
      </c>
      <c r="X60" s="44">
        <f t="shared" si="36"/>
        <v>616.84329458018863</v>
      </c>
      <c r="Y60" s="89">
        <f t="shared" si="36"/>
        <v>624.25110350638306</v>
      </c>
      <c r="Z60" s="44">
        <f t="shared" si="36"/>
        <v>696.92681691596579</v>
      </c>
      <c r="AA60" s="89">
        <f t="shared" si="36"/>
        <v>496.3208565092271</v>
      </c>
      <c r="AB60" s="44">
        <f t="shared" si="36"/>
        <v>516.89531842203598</v>
      </c>
      <c r="AC60" s="44">
        <f t="shared" si="36"/>
        <v>542.44518161952919</v>
      </c>
      <c r="AD60" s="44">
        <f t="shared" ref="AD60" si="37">(AD6*1000000)/N61</f>
        <v>583.62278986978038</v>
      </c>
      <c r="AE60" s="193" t="s">
        <v>178</v>
      </c>
    </row>
    <row r="61" spans="1:39" ht="12.5">
      <c r="A61" s="6" t="s">
        <v>59</v>
      </c>
      <c r="B61" s="15"/>
      <c r="C61" s="15"/>
      <c r="D61" s="46">
        <v>26549951</v>
      </c>
      <c r="E61" s="46">
        <v>27843951</v>
      </c>
      <c r="F61" s="46">
        <v>30243951</v>
      </c>
      <c r="G61" s="46">
        <v>31343951</v>
      </c>
      <c r="H61" s="46">
        <v>31343951</v>
      </c>
      <c r="I61" s="46">
        <v>31343951</v>
      </c>
      <c r="J61" s="46">
        <v>31343951</v>
      </c>
      <c r="K61" s="46">
        <v>51834211</v>
      </c>
      <c r="L61" s="46">
        <v>51834211</v>
      </c>
      <c r="M61" s="46">
        <v>51834211</v>
      </c>
      <c r="N61" s="46">
        <v>55628962</v>
      </c>
      <c r="O61" s="46">
        <v>60022554</v>
      </c>
      <c r="Q61" s="1" t="s">
        <v>41</v>
      </c>
      <c r="R61" s="8"/>
      <c r="S61" s="8"/>
      <c r="T61" s="8">
        <v>0</v>
      </c>
      <c r="U61" s="8">
        <v>0</v>
      </c>
      <c r="V61" s="8">
        <v>0</v>
      </c>
      <c r="W61" s="8">
        <v>2</v>
      </c>
      <c r="X61" s="8">
        <v>2</v>
      </c>
      <c r="Z61" s="6"/>
      <c r="AA61" s="166"/>
      <c r="AB61" s="6"/>
      <c r="AC61" s="6"/>
      <c r="AD61" s="6"/>
      <c r="AE61" s="194" t="s">
        <v>178</v>
      </c>
    </row>
    <row r="62" spans="1:39">
      <c r="A62" s="6" t="s">
        <v>60</v>
      </c>
      <c r="B62" s="14">
        <f t="shared" ref="B62:M62" si="38">B61*R58/1000000</f>
        <v>0</v>
      </c>
      <c r="C62" s="14">
        <f t="shared" si="38"/>
        <v>0</v>
      </c>
      <c r="D62" s="14">
        <f t="shared" si="38"/>
        <v>2941.7345707999998</v>
      </c>
      <c r="E62" s="14">
        <f t="shared" si="38"/>
        <v>7850.6019844499997</v>
      </c>
      <c r="F62" s="14">
        <f t="shared" si="38"/>
        <v>12648.020308199999</v>
      </c>
      <c r="G62" s="14">
        <f t="shared" si="38"/>
        <v>15529.360522949999</v>
      </c>
      <c r="H62" s="14">
        <f t="shared" si="38"/>
        <v>8552.1970303500002</v>
      </c>
      <c r="I62" s="14">
        <f t="shared" si="38"/>
        <v>15889.815959449999</v>
      </c>
      <c r="J62" s="14">
        <f t="shared" si="38"/>
        <v>13095.502727800002</v>
      </c>
      <c r="K62" s="14">
        <f t="shared" si="38"/>
        <v>25380.621416149999</v>
      </c>
      <c r="L62" s="14">
        <f t="shared" si="38"/>
        <v>14705.365660699999</v>
      </c>
      <c r="M62" s="14">
        <f t="shared" si="38"/>
        <v>15726.499617399999</v>
      </c>
      <c r="N62" s="14">
        <v>34751.410000000003</v>
      </c>
      <c r="O62" s="14">
        <v>34751.410000000003</v>
      </c>
      <c r="Q62" s="1" t="s">
        <v>42</v>
      </c>
      <c r="R62" s="44">
        <f t="shared" ref="R62:W62" si="39">(R58/R59)</f>
        <v>16.101532567049809</v>
      </c>
      <c r="S62" s="44">
        <f t="shared" si="39"/>
        <v>1.764969293756397</v>
      </c>
      <c r="T62" s="44">
        <f t="shared" si="39"/>
        <v>1.7905623787976728</v>
      </c>
      <c r="U62" s="44">
        <f t="shared" si="39"/>
        <v>3.870812740252608</v>
      </c>
      <c r="V62" s="44">
        <f t="shared" si="39"/>
        <v>5.3663544206339013</v>
      </c>
      <c r="W62" s="44">
        <f t="shared" si="39"/>
        <v>15.668880455407969</v>
      </c>
      <c r="X62" s="44">
        <f t="shared" ref="X62:AB62" si="40">(X58/X59)</f>
        <v>3.771772186895217</v>
      </c>
      <c r="Y62" s="89">
        <f t="shared" si="40"/>
        <v>19.290334855403348</v>
      </c>
      <c r="Z62" s="44">
        <f t="shared" si="40"/>
        <v>8.5808174163072497</v>
      </c>
      <c r="AA62" s="89">
        <f t="shared" si="40"/>
        <v>6.5338937816920204</v>
      </c>
      <c r="AB62" s="44">
        <f t="shared" si="40"/>
        <v>13.725205611998064</v>
      </c>
      <c r="AC62" s="44">
        <f>(AC58/AC59)</f>
        <v>11.874755381604695</v>
      </c>
      <c r="AD62" s="44">
        <f>(AD58/AD59)</f>
        <v>14.592384956785798</v>
      </c>
      <c r="AE62" s="193">
        <f>AD62+AE59-17.79</f>
        <v>-1.4476150432141992</v>
      </c>
      <c r="AF62" s="2" t="s">
        <v>311</v>
      </c>
    </row>
    <row r="63" spans="1:39">
      <c r="A63" s="6" t="s">
        <v>63</v>
      </c>
      <c r="B63" s="14">
        <f t="shared" ref="B63:M63" si="41">R10</f>
        <v>6608.0550000000003</v>
      </c>
      <c r="C63" s="14">
        <f t="shared" si="41"/>
        <v>7869.99</v>
      </c>
      <c r="D63" s="14">
        <f t="shared" si="41"/>
        <v>2834.5420000000004</v>
      </c>
      <c r="E63" s="14">
        <f t="shared" si="41"/>
        <v>1814.4079999999999</v>
      </c>
      <c r="F63" s="14">
        <f t="shared" si="41"/>
        <v>1595.2449999999999</v>
      </c>
      <c r="G63" s="14">
        <f t="shared" si="41"/>
        <v>1493.277</v>
      </c>
      <c r="H63" s="14">
        <f t="shared" si="41"/>
        <v>965.32499999999993</v>
      </c>
      <c r="I63" s="14">
        <f t="shared" si="41"/>
        <v>1464.1769999999999</v>
      </c>
      <c r="J63" s="14">
        <f t="shared" si="41"/>
        <v>1485.03</v>
      </c>
      <c r="K63" s="14">
        <f t="shared" si="41"/>
        <v>958.61999999999989</v>
      </c>
      <c r="L63" s="14">
        <f t="shared" si="41"/>
        <v>451.81299999999999</v>
      </c>
      <c r="M63" s="14">
        <f t="shared" si="41"/>
        <v>1212.9080000000001</v>
      </c>
      <c r="N63" s="14">
        <f>AD10</f>
        <v>11229.532999999999</v>
      </c>
      <c r="O63" s="191"/>
      <c r="Q63" s="1" t="s">
        <v>43</v>
      </c>
      <c r="R63" s="44">
        <v>0</v>
      </c>
      <c r="S63" s="44">
        <v>0</v>
      </c>
      <c r="T63" s="44">
        <f t="shared" ref="T63:AA63" si="42">(T58/T60)</f>
        <v>0.45642806618711013</v>
      </c>
      <c r="U63" s="44">
        <f t="shared" si="42"/>
        <v>0.76036196889883423</v>
      </c>
      <c r="V63" s="44">
        <f t="shared" si="42"/>
        <v>0.90040530334170277</v>
      </c>
      <c r="W63" s="44">
        <f t="shared" si="42"/>
        <v>0.99081664154006166</v>
      </c>
      <c r="X63" s="44">
        <f t="shared" si="42"/>
        <v>0.44233276489727646</v>
      </c>
      <c r="Y63" s="89">
        <f t="shared" si="42"/>
        <v>0.81209307785359219</v>
      </c>
      <c r="Z63" s="44">
        <f t="shared" si="42"/>
        <v>0.59948905661120166</v>
      </c>
      <c r="AA63" s="89">
        <f t="shared" si="42"/>
        <v>0.9865593870945798</v>
      </c>
      <c r="AB63" s="44">
        <f t="shared" ref="AB63" si="43">(AB58/AB60)</f>
        <v>0.54885387793039342</v>
      </c>
      <c r="AC63" s="44">
        <f>(AC58/AC60)</f>
        <v>0.55931919073216985</v>
      </c>
      <c r="AD63" s="44">
        <f>(AD58/AD60)</f>
        <v>1.0703831496014489</v>
      </c>
      <c r="AE63" s="193" t="s">
        <v>178</v>
      </c>
    </row>
    <row r="64" spans="1:39">
      <c r="A64" s="6" t="s">
        <v>61</v>
      </c>
      <c r="B64" s="14">
        <f>R34</f>
        <v>0</v>
      </c>
      <c r="C64" s="14">
        <f>S34</f>
        <v>0</v>
      </c>
      <c r="D64" s="14">
        <f>T34+T33</f>
        <v>200.488</v>
      </c>
      <c r="E64" s="14">
        <f>U34+U33</f>
        <v>155.566</v>
      </c>
      <c r="F64" s="14">
        <f t="shared" ref="F64:M64" si="44">SUM(V33:V34)</f>
        <v>157.35300000000001</v>
      </c>
      <c r="G64" s="14">
        <f t="shared" si="44"/>
        <v>225.73899999999998</v>
      </c>
      <c r="H64" s="14">
        <f t="shared" si="44"/>
        <v>152.51900000000001</v>
      </c>
      <c r="I64" s="14">
        <f t="shared" si="44"/>
        <v>168.27199999999999</v>
      </c>
      <c r="J64" s="14">
        <f t="shared" si="44"/>
        <v>104.67099999999999</v>
      </c>
      <c r="K64" s="14">
        <f t="shared" si="44"/>
        <v>186.16</v>
      </c>
      <c r="L64" s="14">
        <f t="shared" si="44"/>
        <v>985.25900000000001</v>
      </c>
      <c r="M64" s="14">
        <f t="shared" si="44"/>
        <v>939.67100000000005</v>
      </c>
      <c r="N64" s="14">
        <f>SUM(AD33:AD34)</f>
        <v>141.87100000000001</v>
      </c>
      <c r="O64" s="191"/>
      <c r="Q64" s="1" t="s">
        <v>44</v>
      </c>
      <c r="R64" s="44">
        <f t="shared" ref="R64:AC64" si="45">B65/B16</f>
        <v>8.9883742440606245</v>
      </c>
      <c r="S64" s="44">
        <f t="shared" si="45"/>
        <v>7.7557401912428041</v>
      </c>
      <c r="T64" s="44">
        <f t="shared" si="45"/>
        <v>4.4550175345464753</v>
      </c>
      <c r="U64" s="44">
        <f t="shared" si="45"/>
        <v>5.9827465271302867</v>
      </c>
      <c r="V64" s="44">
        <f t="shared" si="45"/>
        <v>7.7852312415990097</v>
      </c>
      <c r="W64" s="44">
        <f t="shared" si="45"/>
        <v>7.2705631627552005</v>
      </c>
      <c r="X64" s="44">
        <f t="shared" si="45"/>
        <v>5.0334080758896844</v>
      </c>
      <c r="Y64" s="89">
        <f t="shared" si="45"/>
        <v>51.206348186921367</v>
      </c>
      <c r="Z64" s="44">
        <f t="shared" si="45"/>
        <v>17.526253585615621</v>
      </c>
      <c r="AA64" s="44">
        <f t="shared" si="45"/>
        <v>21.562616079075607</v>
      </c>
      <c r="AB64" s="44">
        <f t="shared" si="45"/>
        <v>-37.807816275967639</v>
      </c>
      <c r="AC64" s="44">
        <f t="shared" si="45"/>
        <v>-131.72301994319335</v>
      </c>
      <c r="AD64" s="44">
        <f t="shared" ref="AD64" si="46">N65/N16</f>
        <v>75.213465189276292</v>
      </c>
      <c r="AE64" s="193" t="s">
        <v>178</v>
      </c>
    </row>
    <row r="65" spans="1:31">
      <c r="A65" s="6" t="s">
        <v>62</v>
      </c>
      <c r="B65" s="10">
        <f t="shared" ref="B65:G65" si="47">B62+B63-B64</f>
        <v>6608.0550000000003</v>
      </c>
      <c r="C65" s="10">
        <f t="shared" si="47"/>
        <v>7869.99</v>
      </c>
      <c r="D65" s="10">
        <f t="shared" si="47"/>
        <v>5575.7885708000003</v>
      </c>
      <c r="E65" s="10">
        <f t="shared" si="47"/>
        <v>9509.4439844499993</v>
      </c>
      <c r="F65" s="10">
        <f>F62+F63-F64</f>
        <v>14085.912308200001</v>
      </c>
      <c r="G65" s="10">
        <f t="shared" si="47"/>
        <v>16796.898522949996</v>
      </c>
      <c r="H65" s="10">
        <f t="shared" ref="H65:L65" si="48">H62+H63-H64</f>
        <v>9365.0030303500007</v>
      </c>
      <c r="I65" s="10">
        <f t="shared" si="48"/>
        <v>17185.720959449998</v>
      </c>
      <c r="J65" s="10">
        <f t="shared" si="48"/>
        <v>14475.861727800002</v>
      </c>
      <c r="K65" s="10">
        <f t="shared" si="48"/>
        <v>26153.081416149998</v>
      </c>
      <c r="L65" s="10">
        <f t="shared" si="48"/>
        <v>14171.919660699999</v>
      </c>
      <c r="M65" s="10">
        <f>M62+M63-M64</f>
        <v>15999.7366174</v>
      </c>
      <c r="N65" s="10">
        <f>N62+N63-N64</f>
        <v>45839.072</v>
      </c>
      <c r="O65" s="192"/>
      <c r="Q65" s="45" t="s">
        <v>45</v>
      </c>
      <c r="R65" s="34">
        <f t="shared" ref="R65:AC65" si="49">(B33/R6)</f>
        <v>5.5156235568004294E-2</v>
      </c>
      <c r="S65" s="34">
        <f t="shared" si="49"/>
        <v>0.40569777265230028</v>
      </c>
      <c r="T65" s="34">
        <f t="shared" si="49"/>
        <v>0.3036612805777763</v>
      </c>
      <c r="U65" s="34">
        <f t="shared" si="49"/>
        <v>0.2572424977399127</v>
      </c>
      <c r="V65" s="34">
        <f t="shared" si="49"/>
        <v>0.25487330773836187</v>
      </c>
      <c r="W65" s="34">
        <f t="shared" si="49"/>
        <v>0.10458261039447103</v>
      </c>
      <c r="X65" s="34">
        <f t="shared" si="49"/>
        <v>0.193957517792467</v>
      </c>
      <c r="Y65" s="90">
        <f t="shared" si="49"/>
        <v>6.9629942939195666E-2</v>
      </c>
      <c r="Z65" s="34">
        <f t="shared" si="49"/>
        <v>0.11553525748428438</v>
      </c>
      <c r="AA65" s="90">
        <f t="shared" si="49"/>
        <v>0.15098692393805582</v>
      </c>
      <c r="AB65" s="34">
        <f t="shared" si="49"/>
        <v>3.9988674595072153E-2</v>
      </c>
      <c r="AC65" s="34">
        <f t="shared" si="49"/>
        <v>4.7095733297654124E-2</v>
      </c>
      <c r="AD65" s="34">
        <f t="shared" ref="AD65" si="50">(N33/AD6)</f>
        <v>7.3205009620736311E-2</v>
      </c>
      <c r="AE65" s="195" t="s">
        <v>178</v>
      </c>
    </row>
    <row r="66" spans="1:31">
      <c r="Q66" s="45" t="s">
        <v>46</v>
      </c>
      <c r="R66" s="34">
        <f t="shared" ref="R66:AC66" si="51">(B16-B20)/R11</f>
        <v>5.2555951924213577E-2</v>
      </c>
      <c r="S66" s="34">
        <f t="shared" si="51"/>
        <v>6.029368507570218E-2</v>
      </c>
      <c r="T66" s="34">
        <f t="shared" si="51"/>
        <v>0.10376367088678402</v>
      </c>
      <c r="U66" s="34">
        <f t="shared" si="51"/>
        <v>0.10513779153129341</v>
      </c>
      <c r="V66" s="34">
        <f t="shared" si="51"/>
        <v>9.1284105806027777E-2</v>
      </c>
      <c r="W66" s="34">
        <f t="shared" si="51"/>
        <v>0.11119868631447297</v>
      </c>
      <c r="X66" s="34">
        <f t="shared" si="51"/>
        <v>6.9107547647163883E-2</v>
      </c>
      <c r="Y66" s="90">
        <f t="shared" si="51"/>
        <v>4.4295658794879592E-4</v>
      </c>
      <c r="Z66" s="34">
        <f t="shared" si="51"/>
        <v>1.5876414456822602E-2</v>
      </c>
      <c r="AA66" s="90">
        <f t="shared" si="51"/>
        <v>2.7273992727088636E-2</v>
      </c>
      <c r="AB66" s="34">
        <f t="shared" si="51"/>
        <v>-3.16385757050716E-2</v>
      </c>
      <c r="AC66" s="34">
        <f t="shared" si="51"/>
        <v>-2.1377957988330025E-2</v>
      </c>
      <c r="AD66" s="34">
        <f t="shared" ref="AD66" si="52">(N16-N20)/AD11</f>
        <v>3.6629498021585397E-3</v>
      </c>
      <c r="AE66" s="195" t="s">
        <v>178</v>
      </c>
    </row>
    <row r="67" spans="1:31">
      <c r="Q67" s="1" t="s">
        <v>47</v>
      </c>
      <c r="R67" s="47">
        <f t="shared" ref="R67:AD67" si="53">(R10/R6)</f>
        <v>3.6768162196990692</v>
      </c>
      <c r="S67" s="47">
        <f t="shared" si="53"/>
        <v>1.7589006745068585</v>
      </c>
      <c r="T67" s="47">
        <f t="shared" si="53"/>
        <v>0.4397964848454381</v>
      </c>
      <c r="U67" s="47">
        <f t="shared" si="53"/>
        <v>0.17573261795699721</v>
      </c>
      <c r="V67" s="47">
        <f t="shared" si="53"/>
        <v>0.1135645755722028</v>
      </c>
      <c r="W67" s="47">
        <f t="shared" si="53"/>
        <v>9.5275249733719022E-2</v>
      </c>
      <c r="X67" s="47">
        <f t="shared" si="53"/>
        <v>4.9928091548773465E-2</v>
      </c>
      <c r="Y67" s="91">
        <f t="shared" si="53"/>
        <v>7.4830823055901274E-2</v>
      </c>
      <c r="Z67" s="47">
        <f t="shared" si="53"/>
        <v>6.7982058592483935E-2</v>
      </c>
      <c r="AA67" s="91">
        <f t="shared" si="53"/>
        <v>3.7262112071646238E-2</v>
      </c>
      <c r="AB67" s="47">
        <f t="shared" si="53"/>
        <v>1.6863186055419761E-2</v>
      </c>
      <c r="AC67" s="47">
        <f t="shared" si="53"/>
        <v>4.31375536512894E-2</v>
      </c>
      <c r="AD67" s="47">
        <f t="shared" si="53"/>
        <v>0.34588242650154788</v>
      </c>
      <c r="AE67" s="196" t="s">
        <v>178</v>
      </c>
    </row>
    <row r="68" spans="1:31">
      <c r="Q68" s="1" t="s">
        <v>48</v>
      </c>
      <c r="R68" s="47">
        <f t="shared" ref="R68:AD68" si="54">(R10-R34-R33)/R6</f>
        <v>3.6206695666979369</v>
      </c>
      <c r="S68" s="47">
        <f t="shared" si="54"/>
        <v>1.7490313741792156</v>
      </c>
      <c r="T68" s="47">
        <f t="shared" si="54"/>
        <v>0.40868954846781802</v>
      </c>
      <c r="U68" s="47">
        <f t="shared" si="54"/>
        <v>0.16066543326364366</v>
      </c>
      <c r="V68" s="47">
        <f t="shared" si="54"/>
        <v>0.1023627058531234</v>
      </c>
      <c r="W68" s="47">
        <f t="shared" si="54"/>
        <v>8.0872470075531028E-2</v>
      </c>
      <c r="X68" s="47">
        <f t="shared" si="54"/>
        <v>4.2039574629676391E-2</v>
      </c>
      <c r="Y68" s="91">
        <f t="shared" si="54"/>
        <v>6.6230816187016817E-2</v>
      </c>
      <c r="Z68" s="47">
        <f t="shared" si="54"/>
        <v>6.3190404514833071E-2</v>
      </c>
      <c r="AA68" s="91">
        <f t="shared" si="54"/>
        <v>3.002596554512096E-2</v>
      </c>
      <c r="AB68" s="47">
        <f t="shared" si="54"/>
        <v>-1.9910005131590833E-2</v>
      </c>
      <c r="AC68" s="47">
        <f t="shared" si="54"/>
        <v>9.7177821788770168E-3</v>
      </c>
      <c r="AD68" s="47">
        <f t="shared" si="54"/>
        <v>0.34151263786205582</v>
      </c>
      <c r="AE68" s="196" t="s">
        <v>178</v>
      </c>
    </row>
    <row r="69" spans="1:31">
      <c r="M69" s="189"/>
      <c r="Q69" s="1" t="s">
        <v>49</v>
      </c>
      <c r="R69" s="7">
        <f t="shared" ref="R69:W69" si="55">(R61/R58)</f>
        <v>0</v>
      </c>
      <c r="S69" s="7">
        <f t="shared" si="55"/>
        <v>0</v>
      </c>
      <c r="T69" s="7">
        <f t="shared" si="55"/>
        <v>0</v>
      </c>
      <c r="U69" s="7">
        <f t="shared" si="55"/>
        <v>0</v>
      </c>
      <c r="V69" s="7">
        <f t="shared" si="55"/>
        <v>0</v>
      </c>
      <c r="W69" s="7">
        <f t="shared" si="55"/>
        <v>4.03673428196589E-3</v>
      </c>
      <c r="X69" s="7">
        <f t="shared" ref="X69:AC69" si="56">(X61/X58)</f>
        <v>7.3300348176653833E-3</v>
      </c>
      <c r="Y69" s="92">
        <f t="shared" si="56"/>
        <v>0</v>
      </c>
      <c r="Z69" s="7">
        <f t="shared" si="56"/>
        <v>0</v>
      </c>
      <c r="AA69" s="92">
        <f t="shared" si="56"/>
        <v>0</v>
      </c>
      <c r="AB69" s="7">
        <f t="shared" si="56"/>
        <v>0</v>
      </c>
      <c r="AC69" s="7">
        <f t="shared" si="56"/>
        <v>0</v>
      </c>
      <c r="AD69" s="7">
        <f t="shared" ref="AD69" si="57">(AD61/AD58)</f>
        <v>0</v>
      </c>
      <c r="AE69" s="197" t="s">
        <v>178</v>
      </c>
    </row>
    <row r="70" spans="1:31">
      <c r="Q70" s="1" t="s">
        <v>50</v>
      </c>
      <c r="R70" s="16">
        <f>(AVERAGE(R32)/B6*365)</f>
        <v>174.77209794179595</v>
      </c>
      <c r="S70" s="16">
        <f t="shared" ref="S70:AC70" si="58">(AVERAGE(R32:S32)/C6*365)</f>
        <v>156.45389210020716</v>
      </c>
      <c r="T70" s="16">
        <f t="shared" si="58"/>
        <v>126.43669758651613</v>
      </c>
      <c r="U70" s="16">
        <f t="shared" si="58"/>
        <v>60.93794355818288</v>
      </c>
      <c r="V70" s="16">
        <f t="shared" si="58"/>
        <v>58.2556528467641</v>
      </c>
      <c r="W70" s="16">
        <f t="shared" si="58"/>
        <v>61.286168977233928</v>
      </c>
      <c r="X70" s="16">
        <f t="shared" si="58"/>
        <v>79.917947272227181</v>
      </c>
      <c r="Y70" s="93">
        <f t="shared" si="58"/>
        <v>189.12701909376321</v>
      </c>
      <c r="Z70" s="16">
        <f t="shared" si="58"/>
        <v>119.18556392966745</v>
      </c>
      <c r="AA70" s="93">
        <f t="shared" si="58"/>
        <v>75.245901155382157</v>
      </c>
      <c r="AB70" s="16">
        <f t="shared" si="58"/>
        <v>95.169936036576914</v>
      </c>
      <c r="AC70" s="16">
        <f t="shared" si="58"/>
        <v>82.707927416373636</v>
      </c>
      <c r="AD70" s="16">
        <f t="shared" ref="AD70" si="59">(AVERAGE(AC32:AD32)/N6*365)</f>
        <v>71.921651070300626</v>
      </c>
      <c r="AE70" s="198" t="s">
        <v>178</v>
      </c>
    </row>
    <row r="71" spans="1:31">
      <c r="Q71" s="1" t="s">
        <v>51</v>
      </c>
      <c r="R71" s="16">
        <f>AVERAGE(R41)/(B10+B11+B12)*365</f>
        <v>80.213484286698034</v>
      </c>
      <c r="S71" s="16">
        <f>AVERAGE(R41:S41)/(C10+C11+C12)*365</f>
        <v>73.6824316008652</v>
      </c>
      <c r="T71" s="16">
        <f>AVERAGE(S41:T41)/(D10+D11+D12)*365</f>
        <v>85.233708271845643</v>
      </c>
      <c r="U71" s="16">
        <f t="shared" ref="U71:AC71" si="60">AVERAGE(T41:U41)/(E9)*365</f>
        <v>66.656632131321942</v>
      </c>
      <c r="V71" s="16">
        <f t="shared" si="60"/>
        <v>67.329056897913532</v>
      </c>
      <c r="W71" s="16">
        <f t="shared" si="60"/>
        <v>57.383968922672778</v>
      </c>
      <c r="X71" s="16">
        <f t="shared" si="60"/>
        <v>67.795586355100838</v>
      </c>
      <c r="Y71" s="93">
        <f t="shared" si="60"/>
        <v>148.9832527456453</v>
      </c>
      <c r="Z71" s="16">
        <f t="shared" si="60"/>
        <v>103.44327606233662</v>
      </c>
      <c r="AA71" s="93">
        <f t="shared" si="60"/>
        <v>77.095535483870975</v>
      </c>
      <c r="AB71" s="16">
        <f t="shared" si="60"/>
        <v>133.58720890409739</v>
      </c>
      <c r="AC71" s="16">
        <f t="shared" si="60"/>
        <v>150.5761985218428</v>
      </c>
      <c r="AD71" s="16">
        <f t="shared" ref="AD71" si="61">AVERAGE(AC41:AD41)/(N9)*365</f>
        <v>140.56499161727993</v>
      </c>
      <c r="AE71" s="198" t="s">
        <v>178</v>
      </c>
    </row>
    <row r="72" spans="1:31">
      <c r="Q72" s="1" t="s">
        <v>52</v>
      </c>
      <c r="R72" s="16">
        <f>(AVERAGE(R29:R29)/(B10+B11+B12)*365)</f>
        <v>100.03740388121476</v>
      </c>
      <c r="S72" s="16">
        <f>(AVERAGE(R29:S29)/(C10+C11+C12)*365)</f>
        <v>66.861914489002231</v>
      </c>
      <c r="T72" s="16">
        <f>(AVERAGE(S29:T29)/(D10+D11+D12)*365)</f>
        <v>45.69180459268825</v>
      </c>
      <c r="U72" s="16">
        <f t="shared" ref="U72:AC72" si="62">(AVERAGE(T29:U29)/(E9)*365)</f>
        <v>29.549022498168004</v>
      </c>
      <c r="V72" s="16">
        <f t="shared" si="62"/>
        <v>38.551673897399297</v>
      </c>
      <c r="W72" s="16">
        <f t="shared" si="62"/>
        <v>45.14245043462661</v>
      </c>
      <c r="X72" s="16">
        <f t="shared" si="62"/>
        <v>50.747025165297394</v>
      </c>
      <c r="Y72" s="93">
        <f t="shared" si="62"/>
        <v>94.346629632900118</v>
      </c>
      <c r="Z72" s="16">
        <f t="shared" si="62"/>
        <v>65.981172034505093</v>
      </c>
      <c r="AA72" s="93">
        <f t="shared" si="62"/>
        <v>54.943547841890052</v>
      </c>
      <c r="AB72" s="16">
        <f t="shared" si="62"/>
        <v>81.704880332286436</v>
      </c>
      <c r="AC72" s="16">
        <f t="shared" si="62"/>
        <v>75.406357217988855</v>
      </c>
      <c r="AD72" s="16">
        <f t="shared" ref="AD72" si="63">(AVERAGE(AC29:AD29)/(N9)*365)</f>
        <v>81.807442225608085</v>
      </c>
      <c r="AE72" s="198" t="s">
        <v>178</v>
      </c>
    </row>
    <row r="73" spans="1:31">
      <c r="Q73" s="1" t="s">
        <v>67</v>
      </c>
      <c r="R73" s="16">
        <f t="shared" ref="R73:W73" si="64">(R72+R70-R71)</f>
        <v>194.59601753631267</v>
      </c>
      <c r="S73" s="16">
        <f t="shared" si="64"/>
        <v>149.6333749883442</v>
      </c>
      <c r="T73" s="16">
        <f t="shared" si="64"/>
        <v>86.894793907358746</v>
      </c>
      <c r="U73" s="16">
        <f t="shared" si="64"/>
        <v>23.830333925028938</v>
      </c>
      <c r="V73" s="16">
        <f t="shared" si="64"/>
        <v>29.478269846249859</v>
      </c>
      <c r="W73" s="16">
        <f t="shared" si="64"/>
        <v>49.044650489187759</v>
      </c>
      <c r="X73" s="16">
        <f t="shared" ref="X73:AC73" si="65">(X72+X70-X71)</f>
        <v>62.86938608242373</v>
      </c>
      <c r="Y73" s="93">
        <f t="shared" si="65"/>
        <v>134.49039598101803</v>
      </c>
      <c r="Z73" s="16">
        <f t="shared" si="65"/>
        <v>81.723459901835923</v>
      </c>
      <c r="AA73" s="93">
        <f t="shared" si="65"/>
        <v>53.093913513401247</v>
      </c>
      <c r="AB73" s="16">
        <f t="shared" si="65"/>
        <v>43.287607464765955</v>
      </c>
      <c r="AC73" s="16">
        <f t="shared" si="65"/>
        <v>7.538086112519693</v>
      </c>
      <c r="AD73" s="16">
        <f t="shared" ref="AD73" si="66">(AD72+AD70-AD71)</f>
        <v>13.164101678628782</v>
      </c>
      <c r="AE73" s="198" t="s">
        <v>178</v>
      </c>
    </row>
    <row r="74" spans="1:31">
      <c r="Q74" s="1" t="s">
        <v>53</v>
      </c>
      <c r="R74" s="16">
        <f>AVERAGE(R47:R47)/B6*365</f>
        <v>25.650033209890164</v>
      </c>
      <c r="S74" s="16">
        <f t="shared" ref="S74:AC74" si="67">AVERAGE(R47:S47)/C6*365</f>
        <v>75.441187222992752</v>
      </c>
      <c r="T74" s="16">
        <f t="shared" si="67"/>
        <v>63.591926961611449</v>
      </c>
      <c r="U74" s="16">
        <f t="shared" si="67"/>
        <v>15.113117408630412</v>
      </c>
      <c r="V74" s="16">
        <f t="shared" si="67"/>
        <v>40.727380585737123</v>
      </c>
      <c r="W74" s="16">
        <f t="shared" si="67"/>
        <v>46.105545984433533</v>
      </c>
      <c r="X74" s="16">
        <f t="shared" si="67"/>
        <v>46.012135726959102</v>
      </c>
      <c r="Y74" s="93">
        <f t="shared" si="67"/>
        <v>98.330315995295322</v>
      </c>
      <c r="Z74" s="16">
        <f t="shared" si="67"/>
        <v>57.481762355984948</v>
      </c>
      <c r="AA74" s="16">
        <f t="shared" si="67"/>
        <v>30.667114940442925</v>
      </c>
      <c r="AB74" s="93">
        <f t="shared" si="67"/>
        <v>33.585128696562457</v>
      </c>
      <c r="AC74" s="93">
        <f t="shared" si="67"/>
        <v>10.109015514112551</v>
      </c>
      <c r="AD74" s="93">
        <f t="shared" ref="AD74" si="68">AVERAGE(AC47:AD47)/N6*365</f>
        <v>92.541461282021274</v>
      </c>
      <c r="AE74" s="199" t="s">
        <v>178</v>
      </c>
    </row>
    <row r="75" spans="1:31">
      <c r="Q75" s="6" t="s">
        <v>69</v>
      </c>
      <c r="R75" s="7">
        <f t="shared" ref="R75:AC75" si="69">B21/R10</f>
        <v>0.1214001699441061</v>
      </c>
      <c r="S75" s="7">
        <f t="shared" si="69"/>
        <v>0.10966532358999187</v>
      </c>
      <c r="T75" s="7">
        <f t="shared" si="69"/>
        <v>0.25922882779651873</v>
      </c>
      <c r="U75" s="7">
        <f t="shared" si="69"/>
        <v>5.0240629450487434E-2</v>
      </c>
      <c r="V75" s="7">
        <f t="shared" si="69"/>
        <v>2.1840532332024237E-2</v>
      </c>
      <c r="W75" s="7">
        <f t="shared" si="69"/>
        <v>3.4051284523902797E-2</v>
      </c>
      <c r="X75" s="7">
        <f t="shared" si="69"/>
        <v>5.0099189392173629E-2</v>
      </c>
      <c r="Y75" s="92">
        <f t="shared" si="69"/>
        <v>2.0087735294298435E-2</v>
      </c>
      <c r="Z75" s="7">
        <f t="shared" si="69"/>
        <v>2.6994067459916636E-2</v>
      </c>
      <c r="AA75" s="7">
        <f t="shared" si="69"/>
        <v>4.9884208549790331E-2</v>
      </c>
      <c r="AB75" s="92">
        <f t="shared" si="69"/>
        <v>0.13966397602547956</v>
      </c>
      <c r="AC75" s="92">
        <f t="shared" si="69"/>
        <v>0.18817090826344618</v>
      </c>
      <c r="AD75" s="92">
        <f t="shared" ref="AD75" si="70">N21/AD10</f>
        <v>0.11318600693368104</v>
      </c>
      <c r="AE75" s="200" t="s">
        <v>178</v>
      </c>
    </row>
    <row r="76" spans="1:31">
      <c r="Q76" s="6" t="s">
        <v>119</v>
      </c>
      <c r="R76" s="6"/>
      <c r="S76" s="6"/>
      <c r="T76" s="6">
        <f t="shared" ref="T76:AC76" si="71">D4/T15</f>
        <v>3.0518032411038933</v>
      </c>
      <c r="U76" s="49">
        <f t="shared" si="71"/>
        <v>3.2671386032708734</v>
      </c>
      <c r="V76" s="49">
        <f t="shared" si="71"/>
        <v>2.8148090565390227</v>
      </c>
      <c r="W76" s="49">
        <f t="shared" si="71"/>
        <v>2.9227622867028389</v>
      </c>
      <c r="X76" s="49">
        <f t="shared" si="71"/>
        <v>2.5790103297682445</v>
      </c>
      <c r="Y76" s="94">
        <f t="shared" si="71"/>
        <v>1.1966424873388339</v>
      </c>
      <c r="Z76" s="49">
        <f t="shared" si="71"/>
        <v>1.7117272707923485</v>
      </c>
      <c r="AA76" s="49">
        <f t="shared" si="71"/>
        <v>2.7565649422874361</v>
      </c>
      <c r="AB76" s="174">
        <f t="shared" si="71"/>
        <v>1.8601379909782698</v>
      </c>
      <c r="AC76" s="174">
        <f t="shared" si="71"/>
        <v>2.0217673614180298</v>
      </c>
      <c r="AD76" s="174">
        <f t="shared" ref="AD76" si="72">N4/AD15</f>
        <v>0.91966294299160778</v>
      </c>
      <c r="AE76" s="201" t="s">
        <v>178</v>
      </c>
    </row>
    <row r="90" spans="22:22">
      <c r="V90" s="2"/>
    </row>
    <row r="91" spans="22:22">
      <c r="V91" s="2"/>
    </row>
    <row r="92" spans="22:22">
      <c r="V92" s="2"/>
    </row>
    <row r="93" spans="22:22">
      <c r="V93" s="2"/>
    </row>
  </sheetData>
  <mergeCells count="3">
    <mergeCell ref="Q2:X2"/>
    <mergeCell ref="A2:I2"/>
    <mergeCell ref="A1:AB1"/>
  </mergeCells>
  <pageMargins left="0.7" right="0.7" top="0.75" bottom="0.75" header="0.3" footer="0.3"/>
  <pageSetup paperSize="9" scale="57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6" sqref="A6"/>
    </sheetView>
  </sheetViews>
  <sheetFormatPr defaultRowHeight="14.5"/>
  <sheetData>
    <row r="1" spans="1:1">
      <c r="A1" t="s">
        <v>185</v>
      </c>
    </row>
    <row r="2" spans="1:1">
      <c r="A2" t="s">
        <v>186</v>
      </c>
    </row>
    <row r="3" spans="1:1">
      <c r="A3" t="s">
        <v>187</v>
      </c>
    </row>
    <row r="4" spans="1:1">
      <c r="A4" t="s">
        <v>188</v>
      </c>
    </row>
    <row r="5" spans="1:1">
      <c r="A5" t="s">
        <v>189</v>
      </c>
    </row>
    <row r="6" spans="1:1">
      <c r="A6" t="s">
        <v>190</v>
      </c>
    </row>
    <row r="7" spans="1:1">
      <c r="A7" t="s">
        <v>191</v>
      </c>
    </row>
    <row r="8" spans="1:1">
      <c r="A8" t="s">
        <v>192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66"/>
  <sheetViews>
    <sheetView workbookViewId="0">
      <selection activeCell="E24" sqref="E24"/>
    </sheetView>
  </sheetViews>
  <sheetFormatPr defaultRowHeight="14.5"/>
  <cols>
    <col min="2" max="2" width="47.81640625" bestFit="1" customWidth="1"/>
    <col min="3" max="3" width="35.81640625" bestFit="1" customWidth="1"/>
    <col min="4" max="5" width="35.81640625" customWidth="1"/>
    <col min="6" max="6" width="33.453125" bestFit="1" customWidth="1"/>
  </cols>
  <sheetData>
    <row r="3" spans="2:8">
      <c r="B3" s="181" t="s">
        <v>264</v>
      </c>
      <c r="C3" s="181" t="s">
        <v>265</v>
      </c>
      <c r="D3" s="181"/>
      <c r="E3" s="181"/>
      <c r="F3" s="181" t="s">
        <v>266</v>
      </c>
    </row>
    <row r="4" spans="2:8">
      <c r="B4" s="182" t="s">
        <v>267</v>
      </c>
      <c r="C4" s="183"/>
      <c r="D4" s="183"/>
      <c r="E4" s="183"/>
      <c r="F4" s="183"/>
    </row>
    <row r="5" spans="2:8">
      <c r="B5" s="183" t="s">
        <v>268</v>
      </c>
      <c r="C5" s="184">
        <v>4509.1970000000001</v>
      </c>
      <c r="D5" s="184"/>
      <c r="E5" s="184"/>
      <c r="F5" s="184">
        <v>46949.65</v>
      </c>
    </row>
    <row r="6" spans="2:8">
      <c r="B6" s="183" t="s">
        <v>269</v>
      </c>
      <c r="C6" s="183">
        <v>7.4349999999999996</v>
      </c>
      <c r="D6" s="183"/>
      <c r="E6" s="183"/>
      <c r="F6" s="183">
        <v>26.41</v>
      </c>
    </row>
    <row r="7" spans="2:8">
      <c r="B7" s="183" t="s">
        <v>270</v>
      </c>
      <c r="C7" s="184">
        <v>751.29099999999994</v>
      </c>
      <c r="D7" s="184"/>
      <c r="E7" s="184"/>
      <c r="F7" s="184">
        <v>7254.08</v>
      </c>
    </row>
    <row r="8" spans="2:8">
      <c r="B8" s="183" t="s">
        <v>271</v>
      </c>
      <c r="C8" s="183">
        <v>0.23500000000000001</v>
      </c>
      <c r="D8" s="183"/>
      <c r="E8" s="183"/>
      <c r="F8" s="183">
        <v>2.61</v>
      </c>
    </row>
    <row r="9" spans="2:8">
      <c r="B9" s="183" t="s">
        <v>263</v>
      </c>
      <c r="C9" s="183">
        <v>7.3999999999999996E-2</v>
      </c>
      <c r="D9" s="183"/>
      <c r="E9" s="183"/>
      <c r="F9" s="183">
        <v>72.599999999999994</v>
      </c>
      <c r="H9">
        <v>10</v>
      </c>
    </row>
    <row r="10" spans="2:8">
      <c r="B10" s="183" t="s">
        <v>272</v>
      </c>
      <c r="C10" s="184">
        <v>23865.962</v>
      </c>
      <c r="D10" s="184"/>
      <c r="E10" s="184"/>
      <c r="F10" s="184">
        <v>221306.35</v>
      </c>
    </row>
    <row r="11" spans="2:8">
      <c r="B11" s="183" t="s">
        <v>88</v>
      </c>
      <c r="C11" s="183">
        <v>0</v>
      </c>
      <c r="D11" s="183"/>
      <c r="E11" s="183"/>
      <c r="F11" s="183"/>
    </row>
    <row r="12" spans="2:8">
      <c r="B12" s="183" t="s">
        <v>273</v>
      </c>
      <c r="C12" s="183">
        <v>0.12</v>
      </c>
      <c r="D12" s="183"/>
      <c r="E12" s="183"/>
      <c r="F12" s="183">
        <v>1.2</v>
      </c>
    </row>
    <row r="13" spans="2:8">
      <c r="B13" s="183" t="s">
        <v>274</v>
      </c>
      <c r="C13" s="183" t="s">
        <v>182</v>
      </c>
      <c r="D13" s="183"/>
      <c r="E13" s="183"/>
      <c r="F13" s="183" t="s">
        <v>182</v>
      </c>
    </row>
    <row r="14" spans="2:8">
      <c r="B14" s="183" t="s">
        <v>275</v>
      </c>
      <c r="C14" s="183">
        <v>20.443999999999999</v>
      </c>
      <c r="D14" s="183"/>
      <c r="E14" s="183"/>
      <c r="F14" s="183">
        <v>171.42</v>
      </c>
    </row>
    <row r="15" spans="2:8">
      <c r="B15" s="183" t="s">
        <v>276</v>
      </c>
      <c r="C15" s="184">
        <v>232.91199999999998</v>
      </c>
      <c r="D15" s="184"/>
      <c r="E15" s="184"/>
      <c r="F15" s="184">
        <v>1619.29</v>
      </c>
    </row>
    <row r="16" spans="2:8">
      <c r="B16" s="183" t="s">
        <v>277</v>
      </c>
      <c r="C16" s="184">
        <v>205.78000000000003</v>
      </c>
      <c r="D16" s="184"/>
      <c r="E16" s="184"/>
      <c r="F16" s="184">
        <v>1845.34</v>
      </c>
    </row>
    <row r="17" spans="2:6">
      <c r="B17" s="183" t="s">
        <v>278</v>
      </c>
      <c r="C17" s="184">
        <v>583.74199999999996</v>
      </c>
      <c r="D17" s="184"/>
      <c r="E17" s="184"/>
      <c r="F17" s="184">
        <v>6020.11</v>
      </c>
    </row>
    <row r="18" spans="2:6">
      <c r="B18" s="182" t="s">
        <v>279</v>
      </c>
      <c r="C18" s="185">
        <f>SUM(C5:C17)</f>
        <v>30177.191999999995</v>
      </c>
      <c r="D18" s="185"/>
      <c r="E18" s="185"/>
      <c r="F18" s="185">
        <f>SUM(F5:F17)</f>
        <v>285269.06</v>
      </c>
    </row>
    <row r="19" spans="2:6">
      <c r="B19" s="182"/>
    </row>
    <row r="20" spans="2:6">
      <c r="B20" s="182" t="s">
        <v>280</v>
      </c>
      <c r="C20" s="183"/>
      <c r="D20" s="183"/>
      <c r="E20" s="183"/>
      <c r="F20" s="183"/>
    </row>
    <row r="21" spans="2:6">
      <c r="B21" s="183" t="s">
        <v>33</v>
      </c>
      <c r="C21" s="184">
        <v>1949.1790000000001</v>
      </c>
      <c r="D21" s="184"/>
      <c r="E21" s="184"/>
      <c r="F21" s="184">
        <v>20243.71</v>
      </c>
    </row>
    <row r="22" spans="2:6">
      <c r="B22" s="183" t="s">
        <v>88</v>
      </c>
      <c r="C22" s="183">
        <v>0</v>
      </c>
      <c r="D22" s="183"/>
      <c r="E22" s="183"/>
      <c r="F22" s="183"/>
    </row>
    <row r="23" spans="2:6">
      <c r="B23" s="183" t="s">
        <v>281</v>
      </c>
      <c r="C23" s="183" t="s">
        <v>182</v>
      </c>
      <c r="D23" s="183"/>
      <c r="E23" s="183"/>
      <c r="F23" s="183" t="s">
        <v>182</v>
      </c>
    </row>
    <row r="24" spans="2:6">
      <c r="B24" s="183" t="s">
        <v>274</v>
      </c>
      <c r="C24" s="184">
        <v>2649.7290000000003</v>
      </c>
      <c r="D24" s="184"/>
      <c r="E24" s="184"/>
      <c r="F24" s="184">
        <v>22825.43</v>
      </c>
    </row>
    <row r="25" spans="2:6">
      <c r="B25" s="183" t="s">
        <v>282</v>
      </c>
      <c r="C25" s="184">
        <v>1678.8869999999999</v>
      </c>
      <c r="D25" s="184"/>
      <c r="E25" s="184"/>
      <c r="F25" s="184">
        <v>7668.41</v>
      </c>
    </row>
    <row r="26" spans="2:6">
      <c r="B26" s="183" t="s">
        <v>283</v>
      </c>
      <c r="C26" s="184">
        <v>8752.4969999999994</v>
      </c>
      <c r="D26" s="184"/>
      <c r="E26" s="184"/>
      <c r="F26" s="184">
        <v>7728.3</v>
      </c>
    </row>
    <row r="27" spans="2:6">
      <c r="B27" s="183" t="s">
        <v>275</v>
      </c>
      <c r="C27" s="184">
        <v>898.92900000000009</v>
      </c>
      <c r="D27" s="184"/>
      <c r="E27" s="184"/>
      <c r="F27" s="184">
        <v>8215.2900000000009</v>
      </c>
    </row>
    <row r="28" spans="2:6">
      <c r="B28" s="183" t="s">
        <v>276</v>
      </c>
      <c r="C28" s="183">
        <v>18.565999999999999</v>
      </c>
      <c r="D28" s="183"/>
      <c r="E28" s="183"/>
      <c r="F28" s="183">
        <v>134.86000000000001</v>
      </c>
    </row>
    <row r="29" spans="2:6">
      <c r="B29" s="183" t="s">
        <v>284</v>
      </c>
      <c r="C29" s="183">
        <v>18.580000000000002</v>
      </c>
      <c r="D29" s="183"/>
      <c r="E29" s="183"/>
      <c r="F29" s="183">
        <v>143.41999999999999</v>
      </c>
    </row>
    <row r="30" spans="2:6">
      <c r="B30" s="183" t="s">
        <v>285</v>
      </c>
      <c r="C30" s="184">
        <v>316.24</v>
      </c>
      <c r="D30" s="184"/>
      <c r="E30" s="184"/>
      <c r="F30" s="184">
        <v>3090.78</v>
      </c>
    </row>
    <row r="31" spans="2:6">
      <c r="B31" s="182" t="s">
        <v>286</v>
      </c>
      <c r="C31" s="185">
        <f>SUM(C21:C30)</f>
        <v>16282.607</v>
      </c>
      <c r="D31" s="185"/>
      <c r="E31" s="185"/>
      <c r="F31" s="184">
        <v>55869.52</v>
      </c>
    </row>
    <row r="32" spans="2:6">
      <c r="B32" s="182"/>
      <c r="F32" s="184">
        <f>SUM(F21:F30)</f>
        <v>70050.200000000012</v>
      </c>
    </row>
    <row r="33" spans="2:6">
      <c r="B33" s="182" t="s">
        <v>287</v>
      </c>
      <c r="C33" s="187">
        <f>C18+C31</f>
        <v>46459.798999999999</v>
      </c>
      <c r="D33" s="187"/>
      <c r="E33" s="187"/>
      <c r="F33" s="184">
        <v>341087.59</v>
      </c>
    </row>
    <row r="34" spans="2:6">
      <c r="F34" s="186">
        <f>F18+F31</f>
        <v>341138.58</v>
      </c>
    </row>
    <row r="35" spans="2:6">
      <c r="B35" s="182" t="s">
        <v>288</v>
      </c>
      <c r="C35" s="183"/>
      <c r="D35" s="183"/>
      <c r="E35" s="183"/>
      <c r="F35" s="183"/>
    </row>
    <row r="36" spans="2:6">
      <c r="B36" s="183" t="s">
        <v>289</v>
      </c>
      <c r="C36" s="184">
        <v>518.34199999999998</v>
      </c>
      <c r="D36" s="184"/>
      <c r="E36" s="184"/>
      <c r="F36" s="184">
        <v>5183.42</v>
      </c>
    </row>
    <row r="37" spans="2:6">
      <c r="B37" s="183" t="s">
        <v>290</v>
      </c>
      <c r="C37" s="184">
        <v>29155.916999999998</v>
      </c>
      <c r="D37" s="184"/>
      <c r="E37" s="184"/>
      <c r="F37" s="184">
        <v>275988.76</v>
      </c>
    </row>
    <row r="38" spans="2:6">
      <c r="B38" s="182" t="s">
        <v>291</v>
      </c>
      <c r="C38" s="185">
        <f>SUM(C36:C37)</f>
        <v>29674.258999999998</v>
      </c>
      <c r="D38" s="185"/>
      <c r="E38" s="185"/>
      <c r="F38" s="184">
        <v>281172.18</v>
      </c>
    </row>
    <row r="39" spans="2:6">
      <c r="B39" s="182"/>
      <c r="C39" s="186"/>
      <c r="D39" s="186"/>
      <c r="E39" s="186"/>
      <c r="F39" s="184"/>
    </row>
    <row r="40" spans="2:6">
      <c r="B40" s="183" t="s">
        <v>292</v>
      </c>
      <c r="C40" s="183">
        <v>0.02</v>
      </c>
      <c r="D40" s="183"/>
      <c r="E40" s="183"/>
      <c r="F40" s="183">
        <v>0.17</v>
      </c>
    </row>
    <row r="41" spans="2:6">
      <c r="B41" s="182" t="s">
        <v>293</v>
      </c>
      <c r="C41" s="187">
        <f>SUM(C38:C40)</f>
        <v>29674.278999999999</v>
      </c>
      <c r="D41" s="187"/>
      <c r="E41" s="187"/>
      <c r="F41" s="184">
        <v>281172.34999999998</v>
      </c>
    </row>
    <row r="43" spans="2:6">
      <c r="B43" s="179" t="s">
        <v>294</v>
      </c>
      <c r="C43" s="178"/>
      <c r="D43" s="178"/>
      <c r="E43" s="178"/>
      <c r="F43" s="178"/>
    </row>
    <row r="44" spans="2:6">
      <c r="B44" s="178" t="s">
        <v>295</v>
      </c>
      <c r="C44" s="180">
        <v>10552.056</v>
      </c>
      <c r="D44" s="180"/>
      <c r="E44" s="180"/>
      <c r="F44" s="180">
        <v>2371.17</v>
      </c>
    </row>
    <row r="45" spans="2:6">
      <c r="B45" s="178" t="s">
        <v>296</v>
      </c>
      <c r="D45" s="178"/>
      <c r="E45" s="178"/>
      <c r="F45" s="178">
        <v>17.649999999999999</v>
      </c>
    </row>
    <row r="46" spans="2:6">
      <c r="B46" s="178" t="s">
        <v>297</v>
      </c>
      <c r="C46" s="178" t="s">
        <v>182</v>
      </c>
      <c r="D46" s="178"/>
      <c r="E46" s="178"/>
      <c r="F46" s="178" t="s">
        <v>182</v>
      </c>
    </row>
    <row r="47" spans="2:6">
      <c r="B47" s="178" t="s">
        <v>298</v>
      </c>
      <c r="C47" s="178" t="s">
        <v>182</v>
      </c>
      <c r="D47" s="178"/>
      <c r="E47" s="178"/>
      <c r="F47" s="178" t="s">
        <v>182</v>
      </c>
    </row>
    <row r="48" spans="2:6">
      <c r="B48" s="178" t="s">
        <v>299</v>
      </c>
      <c r="C48" s="178">
        <v>93.287999999999997</v>
      </c>
      <c r="D48" s="178"/>
      <c r="E48" s="178"/>
      <c r="F48" s="178">
        <v>779.93</v>
      </c>
    </row>
    <row r="49" spans="2:6">
      <c r="B49" s="178" t="s">
        <v>110</v>
      </c>
      <c r="D49" s="178"/>
      <c r="E49" s="178"/>
      <c r="F49" s="178">
        <v>618.02</v>
      </c>
    </row>
    <row r="50" spans="2:6">
      <c r="B50" s="178" t="s">
        <v>300</v>
      </c>
      <c r="C50" s="178" t="s">
        <v>182</v>
      </c>
      <c r="D50" s="178"/>
      <c r="E50" s="178"/>
      <c r="F50" s="178" t="s">
        <v>182</v>
      </c>
    </row>
    <row r="51" spans="2:6">
      <c r="B51" s="179" t="s">
        <v>301</v>
      </c>
      <c r="C51" s="188">
        <f>SUM(C44:C50)</f>
        <v>10645.344000000001</v>
      </c>
      <c r="D51" s="188"/>
      <c r="E51" s="188"/>
      <c r="F51" s="180">
        <v>3186.77</v>
      </c>
    </row>
    <row r="52" spans="2:6">
      <c r="B52" s="179"/>
      <c r="F52" s="180">
        <f>SUM(F44:F50)</f>
        <v>3786.77</v>
      </c>
    </row>
    <row r="53" spans="2:6">
      <c r="B53" s="179"/>
      <c r="C53" s="180"/>
      <c r="D53" s="180"/>
      <c r="E53" s="180"/>
      <c r="F53" s="180"/>
    </row>
    <row r="54" spans="2:6">
      <c r="B54" s="179" t="s">
        <v>302</v>
      </c>
      <c r="C54" s="178"/>
      <c r="D54" s="178"/>
      <c r="E54" s="178"/>
      <c r="F54" s="178"/>
    </row>
    <row r="55" spans="2:6">
      <c r="B55" s="178" t="s">
        <v>295</v>
      </c>
      <c r="C55" s="180">
        <v>1252.268</v>
      </c>
      <c r="D55" s="180"/>
      <c r="E55" s="180"/>
      <c r="F55" s="180">
        <v>9757.91</v>
      </c>
    </row>
    <row r="56" spans="2:6">
      <c r="B56" s="178" t="s">
        <v>296</v>
      </c>
      <c r="C56" s="178">
        <v>1.8960000000000001</v>
      </c>
      <c r="D56" s="178"/>
      <c r="E56" s="178"/>
      <c r="F56" s="178">
        <v>9.92</v>
      </c>
    </row>
    <row r="57" spans="2:6">
      <c r="B57" s="178" t="s">
        <v>297</v>
      </c>
      <c r="C57" s="180">
        <v>3883.4260000000004</v>
      </c>
      <c r="D57" s="180">
        <f>SUM(C57:C58)</f>
        <v>4008.2220000000002</v>
      </c>
      <c r="E57" s="180"/>
      <c r="F57" s="180">
        <v>38434.46</v>
      </c>
    </row>
    <row r="58" spans="2:6">
      <c r="B58" s="178" t="s">
        <v>298</v>
      </c>
      <c r="C58" s="180">
        <v>124.79600000000001</v>
      </c>
      <c r="D58" s="180"/>
      <c r="E58" s="180"/>
      <c r="F58" s="180">
        <v>1447.54</v>
      </c>
    </row>
    <row r="59" spans="2:6">
      <c r="B59" s="178" t="s">
        <v>299</v>
      </c>
      <c r="C59" s="180">
        <v>403.33100000000002</v>
      </c>
      <c r="D59" s="180"/>
      <c r="E59" s="180"/>
      <c r="F59" s="180">
        <v>3346.37</v>
      </c>
    </row>
    <row r="60" spans="2:6">
      <c r="B60" s="178" t="s">
        <v>303</v>
      </c>
      <c r="C60" s="180">
        <v>344.92600000000004</v>
      </c>
      <c r="D60" s="180"/>
      <c r="E60" s="180"/>
      <c r="F60" s="180">
        <v>3536.67</v>
      </c>
    </row>
    <row r="61" spans="2:6">
      <c r="B61" s="178" t="s">
        <v>110</v>
      </c>
      <c r="C61" s="178">
        <v>20.474</v>
      </c>
      <c r="D61" s="178"/>
      <c r="E61" s="178"/>
      <c r="F61" s="178">
        <v>195.6</v>
      </c>
    </row>
    <row r="62" spans="2:6">
      <c r="B62" s="178" t="s">
        <v>304</v>
      </c>
      <c r="C62" s="178">
        <v>36.491</v>
      </c>
      <c r="D62" s="178"/>
      <c r="E62" s="178"/>
      <c r="F62" s="178" t="s">
        <v>182</v>
      </c>
    </row>
    <row r="63" spans="2:6">
      <c r="B63" s="179" t="s">
        <v>305</v>
      </c>
      <c r="C63" s="188">
        <f>SUM(C55:C62)</f>
        <v>6067.6080000000011</v>
      </c>
      <c r="D63" s="188"/>
      <c r="E63" s="188"/>
      <c r="F63" s="180">
        <v>56728.47</v>
      </c>
    </row>
    <row r="64" spans="2:6">
      <c r="B64" s="179"/>
      <c r="F64" s="180">
        <f>SUM(F55:F62)</f>
        <v>56728.47</v>
      </c>
    </row>
    <row r="65" spans="2:6">
      <c r="B65" s="179" t="s">
        <v>306</v>
      </c>
      <c r="C65" s="187">
        <f>C41+C51+C63</f>
        <v>46387.231</v>
      </c>
      <c r="D65" s="187"/>
      <c r="E65" s="187"/>
      <c r="F65" s="180">
        <v>341087.59</v>
      </c>
    </row>
    <row r="66" spans="2:6">
      <c r="C66" t="b">
        <f>C65=C33</f>
        <v>0</v>
      </c>
      <c r="F66" s="186">
        <f>F41+F51+F63</f>
        <v>341087.58999999997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"/>
  <sheetViews>
    <sheetView zoomScale="70" zoomScaleNormal="70" workbookViewId="0">
      <pane ySplit="1" topLeftCell="A2" activePane="bottomLeft" state="frozen"/>
      <selection pane="bottomLeft" activeCell="E21" sqref="E21"/>
    </sheetView>
  </sheetViews>
  <sheetFormatPr defaultColWidth="9.1796875" defaultRowHeight="17"/>
  <cols>
    <col min="1" max="1" width="50.453125" style="131" customWidth="1"/>
    <col min="2" max="13" width="14.26953125" style="131" customWidth="1"/>
    <col min="14" max="16384" width="9.1796875" style="131"/>
  </cols>
  <sheetData>
    <row r="1" spans="1:14">
      <c r="B1" s="132" t="s">
        <v>205</v>
      </c>
      <c r="C1" s="132" t="s">
        <v>255</v>
      </c>
      <c r="D1" s="132" t="s">
        <v>205</v>
      </c>
      <c r="E1" s="132" t="s">
        <v>255</v>
      </c>
      <c r="F1" s="132" t="s">
        <v>205</v>
      </c>
      <c r="G1" s="132" t="s">
        <v>255</v>
      </c>
      <c r="H1" s="132" t="s">
        <v>205</v>
      </c>
      <c r="I1" s="132" t="s">
        <v>255</v>
      </c>
      <c r="J1" s="132" t="s">
        <v>205</v>
      </c>
      <c r="K1" s="132" t="s">
        <v>255</v>
      </c>
      <c r="L1" s="133" t="s">
        <v>205</v>
      </c>
      <c r="M1" s="133" t="s">
        <v>255</v>
      </c>
    </row>
    <row r="2" spans="1:14">
      <c r="A2" s="134" t="s">
        <v>206</v>
      </c>
      <c r="B2" s="206" t="s">
        <v>199</v>
      </c>
      <c r="C2" s="207"/>
      <c r="D2" s="206" t="s">
        <v>207</v>
      </c>
      <c r="E2" s="207"/>
      <c r="F2" s="206" t="s">
        <v>208</v>
      </c>
      <c r="G2" s="207"/>
      <c r="H2" s="206" t="s">
        <v>209</v>
      </c>
      <c r="I2" s="207"/>
      <c r="J2" s="208" t="s">
        <v>210</v>
      </c>
      <c r="K2" s="209"/>
      <c r="L2" s="206" t="s">
        <v>201</v>
      </c>
      <c r="M2" s="207"/>
    </row>
    <row r="3" spans="1:14">
      <c r="A3" s="135"/>
      <c r="B3" s="135"/>
      <c r="C3" s="135"/>
      <c r="D3" s="135"/>
      <c r="E3" s="135"/>
      <c r="F3" s="135"/>
      <c r="G3" s="135"/>
      <c r="H3" s="135"/>
      <c r="I3" s="135"/>
      <c r="J3" s="136"/>
      <c r="K3" s="136"/>
      <c r="L3" s="136"/>
      <c r="M3" s="136"/>
    </row>
    <row r="4" spans="1:14">
      <c r="A4" s="137" t="s">
        <v>212</v>
      </c>
      <c r="B4" s="135"/>
      <c r="C4" s="135"/>
      <c r="D4" s="135"/>
      <c r="E4" s="135"/>
      <c r="F4" s="135"/>
      <c r="G4" s="135"/>
      <c r="H4" s="135"/>
      <c r="I4" s="135"/>
      <c r="J4" s="136"/>
      <c r="K4" s="136"/>
      <c r="L4" s="136"/>
      <c r="M4" s="136"/>
    </row>
    <row r="5" spans="1:14">
      <c r="A5" s="135" t="s">
        <v>214</v>
      </c>
      <c r="B5" s="138">
        <v>14969.13</v>
      </c>
      <c r="C5" s="138">
        <v>9451</v>
      </c>
      <c r="D5" s="139">
        <v>20506.21</v>
      </c>
      <c r="E5" s="138">
        <v>15742.8</v>
      </c>
      <c r="F5" s="139">
        <v>50808.9</v>
      </c>
      <c r="G5" s="139">
        <v>54275.199999999997</v>
      </c>
      <c r="H5" s="139">
        <v>3803.444</v>
      </c>
      <c r="I5" s="135">
        <v>3346.7860000000001</v>
      </c>
      <c r="J5" s="140">
        <v>5839.97</v>
      </c>
      <c r="K5" s="140">
        <v>6840.2659999999996</v>
      </c>
      <c r="L5" s="140">
        <v>6012.97</v>
      </c>
      <c r="M5" s="140">
        <v>5014.9179999999997</v>
      </c>
      <c r="N5" s="141" t="s">
        <v>211</v>
      </c>
    </row>
    <row r="6" spans="1:14">
      <c r="A6" s="135" t="s">
        <v>256</v>
      </c>
      <c r="B6" s="142"/>
      <c r="C6" s="142">
        <v>9690</v>
      </c>
      <c r="D6" s="143"/>
      <c r="E6" s="131">
        <v>13748.19</v>
      </c>
      <c r="F6" s="143"/>
      <c r="G6" s="143">
        <v>37314.699999999997</v>
      </c>
      <c r="H6" s="143"/>
      <c r="I6" s="135">
        <v>2601.4499999999998</v>
      </c>
      <c r="J6" s="143"/>
      <c r="K6" s="143">
        <v>3463.3429999999998</v>
      </c>
      <c r="L6" s="143"/>
      <c r="M6" s="143">
        <v>4136.7950000000001</v>
      </c>
      <c r="N6" s="144" t="s">
        <v>213</v>
      </c>
    </row>
    <row r="7" spans="1:14">
      <c r="A7" s="135" t="s">
        <v>128</v>
      </c>
      <c r="B7" s="145"/>
      <c r="C7" s="145">
        <v>-8.2900695688044035E-3</v>
      </c>
      <c r="D7" s="145"/>
      <c r="E7" s="145">
        <v>4.619382149080975E-2</v>
      </c>
      <c r="F7" s="145"/>
      <c r="G7" s="145">
        <v>0.13302760915540834</v>
      </c>
      <c r="H7" s="145"/>
      <c r="I7" s="145">
        <v>0.29467992784585562</v>
      </c>
      <c r="J7" s="145"/>
      <c r="K7" s="145">
        <v>0.25465935324336786</v>
      </c>
      <c r="L7" s="145"/>
      <c r="M7" s="145">
        <v>6.6268580430509205E-2</v>
      </c>
      <c r="N7" s="146" t="s">
        <v>215</v>
      </c>
    </row>
    <row r="8" spans="1:14">
      <c r="A8" s="135" t="s">
        <v>217</v>
      </c>
      <c r="B8" s="138">
        <v>1212.8800000000001</v>
      </c>
      <c r="C8" s="138">
        <v>-374</v>
      </c>
      <c r="D8" s="139">
        <v>2195.86</v>
      </c>
      <c r="E8" s="138">
        <v>1449.5</v>
      </c>
      <c r="F8" s="139">
        <v>9114.4</v>
      </c>
      <c r="G8" s="139">
        <v>7774.85</v>
      </c>
      <c r="H8" s="139">
        <v>313.89999999999998</v>
      </c>
      <c r="I8" s="135">
        <v>1542.2</v>
      </c>
      <c r="J8" s="140">
        <v>796.65</v>
      </c>
      <c r="K8" s="140">
        <v>6838.34</v>
      </c>
      <c r="L8" s="140">
        <v>1164.02</v>
      </c>
      <c r="M8" s="140">
        <v>544.83500000000004</v>
      </c>
      <c r="N8" s="147" t="s">
        <v>216</v>
      </c>
    </row>
    <row r="9" spans="1:14">
      <c r="A9" s="135" t="s">
        <v>257</v>
      </c>
      <c r="B9" s="142"/>
      <c r="C9" s="142">
        <v>961</v>
      </c>
      <c r="D9" s="143"/>
      <c r="E9" s="131">
        <v>1377.48</v>
      </c>
      <c r="F9" s="143"/>
      <c r="G9" s="143">
        <v>9171.2000000000007</v>
      </c>
      <c r="H9" s="143"/>
      <c r="I9" s="135">
        <v>258.92599999999999</v>
      </c>
      <c r="J9" s="143"/>
      <c r="K9" s="143">
        <v>529.25699999999995</v>
      </c>
      <c r="L9" s="143"/>
      <c r="M9" s="143">
        <v>975.84900000000005</v>
      </c>
    </row>
    <row r="10" spans="1:14">
      <c r="A10" s="135" t="s">
        <v>128</v>
      </c>
      <c r="B10" s="145"/>
      <c r="C10" s="145">
        <v>-1.7301006551931364</v>
      </c>
      <c r="D10" s="145"/>
      <c r="E10" s="145">
        <v>1.7132752689285491E-2</v>
      </c>
      <c r="F10" s="145"/>
      <c r="G10" s="145">
        <v>-5.3569738370859987E-2</v>
      </c>
      <c r="H10" s="145"/>
      <c r="I10" s="145">
        <v>0.81268223644210646</v>
      </c>
      <c r="J10" s="145"/>
      <c r="K10" s="145">
        <v>1.3465403493186137</v>
      </c>
      <c r="L10" s="145"/>
      <c r="M10" s="145">
        <v>-0.17656853340355283</v>
      </c>
    </row>
    <row r="11" spans="1:14">
      <c r="A11" s="135" t="s">
        <v>129</v>
      </c>
      <c r="B11" s="145">
        <v>8.1025416974800812E-2</v>
      </c>
      <c r="C11" s="145">
        <v>-3.9572532007195009E-2</v>
      </c>
      <c r="D11" s="145">
        <v>0.10708268373336663</v>
      </c>
      <c r="E11" s="145">
        <v>9.2073836928627695E-2</v>
      </c>
      <c r="F11" s="145">
        <v>0.17938589499083821</v>
      </c>
      <c r="G11" s="145">
        <v>0.14324866605742587</v>
      </c>
      <c r="H11" s="145">
        <v>8.2530464494810482E-2</v>
      </c>
      <c r="I11" s="145">
        <v>0.4608003021406209</v>
      </c>
      <c r="J11" s="145">
        <v>0.13641337198649992</v>
      </c>
      <c r="K11" s="145">
        <v>0.99971843200249821</v>
      </c>
      <c r="L11" s="145">
        <v>0.19358486737835046</v>
      </c>
      <c r="M11" s="145">
        <v>0.10864285318324249</v>
      </c>
    </row>
    <row r="12" spans="1:14">
      <c r="A12" s="135" t="s">
        <v>9</v>
      </c>
      <c r="B12" s="138">
        <v>529.16999999999996</v>
      </c>
      <c r="C12" s="138">
        <v>-1050</v>
      </c>
      <c r="D12" s="139">
        <v>986.63</v>
      </c>
      <c r="E12" s="138">
        <v>380.3</v>
      </c>
      <c r="F12" s="139">
        <v>6047.4</v>
      </c>
      <c r="G12" s="139">
        <v>506.63</v>
      </c>
      <c r="H12" s="139">
        <v>159.15</v>
      </c>
      <c r="I12" s="135">
        <v>-9.4209999999999994</v>
      </c>
      <c r="J12" s="140">
        <v>555.47</v>
      </c>
      <c r="K12" s="140">
        <v>372.33100000000002</v>
      </c>
      <c r="L12" s="148">
        <v>705.97</v>
      </c>
      <c r="M12" s="148">
        <v>147.102</v>
      </c>
    </row>
    <row r="13" spans="1:14">
      <c r="A13" s="135" t="s">
        <v>258</v>
      </c>
      <c r="B13" s="142"/>
      <c r="C13" s="142">
        <v>502</v>
      </c>
      <c r="D13" s="143"/>
      <c r="E13" s="131">
        <v>860.34</v>
      </c>
      <c r="F13" s="143"/>
      <c r="G13" s="143">
        <v>6600.2</v>
      </c>
      <c r="H13" s="143"/>
      <c r="I13" s="135">
        <v>157.227</v>
      </c>
      <c r="J13" s="143"/>
      <c r="K13" s="143">
        <v>357.11099999999999</v>
      </c>
      <c r="L13" s="143"/>
      <c r="M13" s="143">
        <v>658.14200000000005</v>
      </c>
    </row>
    <row r="14" spans="1:14">
      <c r="A14" s="135" t="s">
        <v>128</v>
      </c>
      <c r="B14" s="145"/>
      <c r="C14" s="145">
        <v>-2.2788762651528449</v>
      </c>
      <c r="D14" s="145"/>
      <c r="E14" s="145">
        <v>-0.23823899559668771</v>
      </c>
      <c r="F14" s="145"/>
      <c r="G14" s="145">
        <v>-0.57501075892016251</v>
      </c>
      <c r="H14" s="145"/>
      <c r="I14" s="145">
        <v>-1.3913121133214028</v>
      </c>
      <c r="J14" s="145"/>
      <c r="K14" s="145">
        <v>1.400942019367335E-2</v>
      </c>
      <c r="L14" s="145"/>
      <c r="M14" s="145">
        <v>-0.39312442751352783</v>
      </c>
    </row>
    <row r="15" spans="1:14">
      <c r="A15" s="135" t="s">
        <v>130</v>
      </c>
      <c r="B15" s="145">
        <v>3.5350751847301749E-2</v>
      </c>
      <c r="C15" s="145">
        <v>-0.11109935456565442</v>
      </c>
      <c r="D15" s="145">
        <v>4.8113717746965434E-2</v>
      </c>
      <c r="E15" s="145">
        <v>2.415707498030846E-2</v>
      </c>
      <c r="F15" s="145">
        <v>0.11902245472741979</v>
      </c>
      <c r="G15" s="145">
        <v>9.3344658333824656E-3</v>
      </c>
      <c r="H15" s="145">
        <v>4.1843655381806594E-2</v>
      </c>
      <c r="I15" s="145">
        <v>-2.814939467297879E-3</v>
      </c>
      <c r="J15" s="145">
        <v>9.5115214632951889E-2</v>
      </c>
      <c r="K15" s="145">
        <v>5.4432239915816145E-2</v>
      </c>
      <c r="L15" s="145">
        <v>0.1174078699877099</v>
      </c>
      <c r="M15" s="145">
        <v>2.9332882412035455E-2</v>
      </c>
    </row>
    <row r="16" spans="1:14">
      <c r="A16" s="135" t="s">
        <v>11</v>
      </c>
      <c r="B16" s="135">
        <v>74.94</v>
      </c>
      <c r="C16" s="135">
        <v>20.67</v>
      </c>
      <c r="D16" s="139">
        <v>8.7899999999999991</v>
      </c>
      <c r="E16" s="135">
        <v>3</v>
      </c>
      <c r="F16" s="139">
        <v>204.23</v>
      </c>
      <c r="G16" s="139">
        <v>174.15</v>
      </c>
      <c r="H16" s="139">
        <v>19.5</v>
      </c>
      <c r="I16" s="135">
        <v>-1.17</v>
      </c>
      <c r="J16" s="140">
        <v>17.68</v>
      </c>
      <c r="K16" s="140">
        <v>11.77</v>
      </c>
      <c r="L16" s="140">
        <v>16.170000000000002</v>
      </c>
      <c r="M16" s="140">
        <v>3.38</v>
      </c>
    </row>
    <row r="17" spans="1:13">
      <c r="A17" s="135"/>
      <c r="B17" s="135"/>
      <c r="C17" s="135"/>
      <c r="D17" s="135"/>
      <c r="F17" s="139"/>
      <c r="G17" s="139"/>
      <c r="H17" s="139"/>
      <c r="I17" s="135"/>
      <c r="J17" s="140"/>
      <c r="K17" s="140"/>
      <c r="L17" s="140"/>
      <c r="M17" s="140"/>
    </row>
    <row r="18" spans="1:13">
      <c r="A18" s="137" t="s">
        <v>131</v>
      </c>
      <c r="B18" s="135"/>
      <c r="C18" s="135"/>
      <c r="D18" s="135"/>
      <c r="F18" s="139"/>
      <c r="G18" s="139"/>
      <c r="H18" s="139"/>
      <c r="I18" s="135"/>
      <c r="J18" s="140"/>
      <c r="K18" s="140"/>
      <c r="L18" s="140"/>
      <c r="M18" s="140"/>
    </row>
    <row r="19" spans="1:13">
      <c r="A19" s="135" t="s">
        <v>218</v>
      </c>
      <c r="B19" s="138">
        <v>25726.400000000001</v>
      </c>
      <c r="C19" s="138">
        <v>26792.645</v>
      </c>
      <c r="D19" s="139">
        <v>10557.99</v>
      </c>
      <c r="E19" s="149">
        <v>10777</v>
      </c>
      <c r="F19" s="139">
        <v>44289.599999999999</v>
      </c>
      <c r="G19" s="139">
        <v>46713.8</v>
      </c>
      <c r="H19" s="139">
        <v>2797.2</v>
      </c>
      <c r="I19" s="135">
        <v>2783.6469999999999</v>
      </c>
      <c r="J19" s="140">
        <v>3955.27</v>
      </c>
      <c r="K19" s="140">
        <v>4376.17</v>
      </c>
      <c r="L19" s="140">
        <v>5070.3100000000004</v>
      </c>
      <c r="M19" s="140">
        <v>5063.43</v>
      </c>
    </row>
    <row r="20" spans="1:13">
      <c r="A20" s="135" t="s">
        <v>63</v>
      </c>
      <c r="B20" s="138">
        <v>958.61999999999989</v>
      </c>
      <c r="C20" s="138">
        <v>451.81299999999999</v>
      </c>
      <c r="D20" s="150">
        <v>5757.01</v>
      </c>
      <c r="E20" s="150">
        <v>6974.7000000000007</v>
      </c>
      <c r="F20" s="138">
        <v>1383.8</v>
      </c>
      <c r="G20" s="138">
        <v>469.8</v>
      </c>
      <c r="H20" s="138">
        <v>502.73</v>
      </c>
      <c r="I20" s="138">
        <v>246.25400000000002</v>
      </c>
      <c r="J20" s="138">
        <v>882.69</v>
      </c>
      <c r="K20" s="138">
        <v>651.35</v>
      </c>
      <c r="L20" s="138">
        <v>347.86</v>
      </c>
      <c r="M20" s="138">
        <v>380.68700000000001</v>
      </c>
    </row>
    <row r="21" spans="1:13">
      <c r="A21" s="135" t="s">
        <v>133</v>
      </c>
      <c r="B21" s="138">
        <v>267.08</v>
      </c>
      <c r="C21" s="138">
        <v>411.53699999999998</v>
      </c>
      <c r="D21" s="139">
        <v>2137.36</v>
      </c>
      <c r="E21" s="138">
        <v>3618.3</v>
      </c>
      <c r="F21" s="139">
        <v>610.5</v>
      </c>
      <c r="G21" s="139">
        <v>287.10000000000002</v>
      </c>
      <c r="H21" s="139">
        <v>225</v>
      </c>
      <c r="I21" s="135">
        <v>165</v>
      </c>
      <c r="J21" s="140">
        <v>76.680000000000007</v>
      </c>
      <c r="K21" s="140">
        <v>18.605</v>
      </c>
      <c r="L21" s="140">
        <v>0</v>
      </c>
      <c r="M21" s="140">
        <v>12.872</v>
      </c>
    </row>
    <row r="22" spans="1:13">
      <c r="A22" s="135" t="s">
        <v>134</v>
      </c>
      <c r="B22" s="138">
        <v>691.54</v>
      </c>
      <c r="C22" s="138">
        <v>40.276000000000003</v>
      </c>
      <c r="D22" s="139">
        <v>3619.65</v>
      </c>
      <c r="E22" s="138">
        <v>3356.4</v>
      </c>
      <c r="F22" s="139">
        <v>773.3</v>
      </c>
      <c r="G22" s="139">
        <v>182.7</v>
      </c>
      <c r="H22" s="139">
        <v>277.73</v>
      </c>
      <c r="I22" s="135">
        <v>81.254000000000005</v>
      </c>
      <c r="J22" s="140">
        <v>806.01</v>
      </c>
      <c r="K22" s="140">
        <v>632.745</v>
      </c>
      <c r="L22" s="140">
        <v>347.86</v>
      </c>
      <c r="M22" s="140">
        <v>367.815</v>
      </c>
    </row>
    <row r="23" spans="1:13">
      <c r="A23" s="135"/>
      <c r="B23" s="135"/>
      <c r="C23" s="135"/>
      <c r="D23" s="135"/>
      <c r="F23" s="139"/>
      <c r="G23" s="139"/>
      <c r="H23" s="139"/>
      <c r="I23" s="135"/>
      <c r="J23" s="140"/>
      <c r="K23" s="140"/>
      <c r="L23" s="140"/>
      <c r="M23" s="140"/>
    </row>
    <row r="24" spans="1:13">
      <c r="A24" s="137" t="s">
        <v>12</v>
      </c>
      <c r="B24" s="135"/>
      <c r="C24" s="135"/>
      <c r="D24" s="135"/>
      <c r="F24" s="139"/>
      <c r="G24" s="139"/>
      <c r="H24" s="139"/>
      <c r="I24" s="135"/>
      <c r="J24" s="140"/>
      <c r="K24" s="140"/>
      <c r="L24" s="140"/>
      <c r="M24" s="140"/>
    </row>
    <row r="25" spans="1:13">
      <c r="A25" s="135" t="s">
        <v>135</v>
      </c>
      <c r="B25" s="138">
        <v>921.96</v>
      </c>
      <c r="C25" s="138">
        <v>891.76499999999999</v>
      </c>
      <c r="D25" s="139">
        <v>-135.19999999999999</v>
      </c>
      <c r="E25" s="138">
        <v>2849.1</v>
      </c>
      <c r="F25" s="139">
        <v>2314.5</v>
      </c>
      <c r="G25" s="139">
        <v>7066.9</v>
      </c>
      <c r="H25" s="139">
        <v>43.05</v>
      </c>
      <c r="I25" s="135">
        <v>379.20800000000003</v>
      </c>
      <c r="J25" s="140">
        <v>800.07</v>
      </c>
      <c r="K25" s="140">
        <v>689.83500000000004</v>
      </c>
      <c r="L25" s="140">
        <v>756.16</v>
      </c>
      <c r="M25" s="140">
        <v>276.13499999999999</v>
      </c>
    </row>
    <row r="26" spans="1:13">
      <c r="A26" s="135" t="s">
        <v>20</v>
      </c>
      <c r="B26" s="138">
        <v>546.99</v>
      </c>
      <c r="C26" s="138">
        <v>669.54600000000005</v>
      </c>
      <c r="D26" s="150">
        <v>-1726.02</v>
      </c>
      <c r="E26" s="150">
        <v>-528.49000000000024</v>
      </c>
      <c r="F26" s="138">
        <v>-3594.5</v>
      </c>
      <c r="G26" s="138">
        <v>-1679.8999999999996</v>
      </c>
      <c r="H26" s="138">
        <v>-206.2</v>
      </c>
      <c r="I26" s="138">
        <v>468.24100000000004</v>
      </c>
      <c r="J26" s="138">
        <v>216.29000000000008</v>
      </c>
      <c r="K26" s="138">
        <v>426.33100000000002</v>
      </c>
      <c r="L26" s="138">
        <v>359.77</v>
      </c>
      <c r="M26" s="138">
        <v>276.13499999999999</v>
      </c>
    </row>
    <row r="27" spans="1:13">
      <c r="A27" s="135" t="s">
        <v>219</v>
      </c>
      <c r="B27" s="135">
        <v>-374.97</v>
      </c>
      <c r="C27" s="135">
        <v>-222.21899999999999</v>
      </c>
      <c r="D27" s="151">
        <v>-1590.82</v>
      </c>
      <c r="E27" s="135">
        <v>-3377.59</v>
      </c>
      <c r="F27" s="139">
        <v>-5909</v>
      </c>
      <c r="G27" s="139">
        <v>-8746.7999999999993</v>
      </c>
      <c r="H27" s="139">
        <v>-249.25</v>
      </c>
      <c r="I27" s="135">
        <v>89.033000000000001</v>
      </c>
      <c r="J27" s="140">
        <v>-583.78</v>
      </c>
      <c r="K27" s="140">
        <v>-263.50400000000002</v>
      </c>
      <c r="L27" s="140">
        <v>-396.39</v>
      </c>
      <c r="M27" s="152"/>
    </row>
    <row r="28" spans="1:13">
      <c r="A28" s="135"/>
      <c r="B28" s="135"/>
      <c r="C28" s="135"/>
      <c r="D28" s="135"/>
      <c r="F28" s="139"/>
      <c r="G28" s="139"/>
      <c r="H28" s="139"/>
      <c r="I28" s="135"/>
      <c r="J28" s="140"/>
      <c r="K28" s="140"/>
      <c r="L28" s="140"/>
      <c r="M28" s="140"/>
    </row>
    <row r="29" spans="1:13">
      <c r="A29" s="135" t="s">
        <v>220</v>
      </c>
      <c r="B29" s="138">
        <v>51.834211000000003</v>
      </c>
      <c r="C29" s="138">
        <v>51.834211000000003</v>
      </c>
      <c r="D29" s="139">
        <v>122.48166500000001</v>
      </c>
      <c r="E29" s="139">
        <v>125.623465</v>
      </c>
      <c r="F29" s="139">
        <v>29.587050999999999</v>
      </c>
      <c r="G29" s="139">
        <v>29.513755</v>
      </c>
      <c r="H29" s="139">
        <v>8.033099</v>
      </c>
      <c r="I29" s="139">
        <v>8.033099</v>
      </c>
      <c r="J29" s="140">
        <v>30.836407000000001</v>
      </c>
      <c r="K29" s="140">
        <v>31.625879999999999</v>
      </c>
      <c r="L29" s="140">
        <v>43.644179999999999</v>
      </c>
      <c r="M29" s="140">
        <v>43.644179999999999</v>
      </c>
    </row>
    <row r="30" spans="1:13">
      <c r="A30" s="135" t="s">
        <v>60</v>
      </c>
      <c r="B30" s="150">
        <v>25380.621416149999</v>
      </c>
      <c r="C30" s="150">
        <v>14705.365660700001</v>
      </c>
      <c r="D30" s="150">
        <v>12346.151832</v>
      </c>
      <c r="E30" s="150">
        <v>7253.4988690999999</v>
      </c>
      <c r="F30" s="150">
        <v>304397.49809820001</v>
      </c>
      <c r="G30" s="150">
        <v>205442.29717949999</v>
      </c>
      <c r="H30" s="150">
        <v>2797.1250718000001</v>
      </c>
      <c r="I30" s="150">
        <v>1647.1869499500001</v>
      </c>
      <c r="J30" s="150">
        <v>8621.8593972000017</v>
      </c>
      <c r="K30" s="150">
        <v>4675.8863579999997</v>
      </c>
      <c r="L30" s="138">
        <v>9654.0926159999999</v>
      </c>
      <c r="M30" s="138">
        <v>5123.8267320000004</v>
      </c>
    </row>
    <row r="31" spans="1:13">
      <c r="A31" s="135" t="s">
        <v>221</v>
      </c>
      <c r="B31" s="150">
        <v>26153.07141615</v>
      </c>
      <c r="C31" s="150">
        <v>14171.919660700001</v>
      </c>
      <c r="D31" s="150">
        <v>17951.681831999998</v>
      </c>
      <c r="E31" s="150">
        <v>14041.4388691</v>
      </c>
      <c r="F31" s="150">
        <v>305092.09809819999</v>
      </c>
      <c r="G31" s="150">
        <v>205391.79717949999</v>
      </c>
      <c r="H31" s="138">
        <v>3279.8950718000001</v>
      </c>
      <c r="I31" s="138">
        <v>1876.0559499500002</v>
      </c>
      <c r="J31" s="138">
        <v>9370.169397200003</v>
      </c>
      <c r="K31" s="138">
        <v>5275.2733580000004</v>
      </c>
      <c r="L31" s="138">
        <v>9738.3126160000011</v>
      </c>
      <c r="M31" s="138">
        <v>5293.1467320000002</v>
      </c>
    </row>
    <row r="32" spans="1:13">
      <c r="A32" s="135" t="s">
        <v>222</v>
      </c>
      <c r="B32" s="153">
        <v>186.17</v>
      </c>
      <c r="C32" s="153">
        <v>985.25900000000001</v>
      </c>
      <c r="D32" s="153">
        <v>151.47999999999999</v>
      </c>
      <c r="E32" s="153">
        <v>186.76</v>
      </c>
      <c r="F32" s="139">
        <v>689.2</v>
      </c>
      <c r="G32" s="139">
        <v>520.29999999999995</v>
      </c>
      <c r="H32" s="139">
        <v>19.96</v>
      </c>
      <c r="I32" s="135">
        <v>17.385000000000002</v>
      </c>
      <c r="J32" s="140">
        <v>134.38</v>
      </c>
      <c r="K32" s="140">
        <v>51.963000000000001</v>
      </c>
      <c r="L32" s="140">
        <v>263.64</v>
      </c>
      <c r="M32" s="140">
        <v>211.36699999999999</v>
      </c>
    </row>
    <row r="33" spans="1:13">
      <c r="A33" s="135"/>
      <c r="B33" s="135"/>
      <c r="C33" s="135"/>
      <c r="D33" s="135"/>
      <c r="F33" s="139"/>
      <c r="G33" s="139"/>
      <c r="H33" s="139"/>
      <c r="I33" s="135"/>
      <c r="J33" s="140"/>
      <c r="K33" s="140"/>
      <c r="L33" s="140"/>
      <c r="M33" s="140"/>
    </row>
    <row r="34" spans="1:13">
      <c r="A34" s="135" t="s">
        <v>223</v>
      </c>
      <c r="B34" s="153">
        <v>6.5338937816920204</v>
      </c>
      <c r="C34" s="153">
        <v>13.725205611998064</v>
      </c>
      <c r="D34" s="153">
        <v>11.467576791808874</v>
      </c>
      <c r="E34" s="153">
        <v>19.246666666666666</v>
      </c>
      <c r="F34" s="153">
        <v>50.375556970082755</v>
      </c>
      <c r="G34" s="153">
        <v>39.970714900947456</v>
      </c>
      <c r="H34" s="153">
        <v>17.856410256410257</v>
      </c>
      <c r="I34" s="153">
        <v>-175.25641025641028</v>
      </c>
      <c r="J34" s="153">
        <v>15.81447963800905</v>
      </c>
      <c r="K34" s="153">
        <v>12.561597281223449</v>
      </c>
      <c r="L34" s="153">
        <v>13.679653679653677</v>
      </c>
      <c r="M34" s="153">
        <v>34.73372781065089</v>
      </c>
    </row>
    <row r="35" spans="1:13">
      <c r="A35" s="135" t="s">
        <v>49</v>
      </c>
      <c r="B35" s="145">
        <v>0</v>
      </c>
      <c r="C35" s="145">
        <v>0</v>
      </c>
      <c r="D35" s="145">
        <v>7.9365079365079378E-3</v>
      </c>
      <c r="E35" s="145">
        <v>1.3855213023900243E-2</v>
      </c>
      <c r="F35" s="145">
        <v>2.4299683132131956E-3</v>
      </c>
      <c r="G35" s="145">
        <v>3.5914896062290797E-3</v>
      </c>
      <c r="H35" s="145">
        <v>1.4359563469270534E-3</v>
      </c>
      <c r="I35" s="145">
        <v>2.4384296513045595E-3</v>
      </c>
      <c r="J35" s="145">
        <v>3.5765379113018594E-3</v>
      </c>
      <c r="K35" s="145">
        <v>1.0145417653026716E-2</v>
      </c>
      <c r="L35" s="145">
        <v>1.5822784810126583E-2</v>
      </c>
      <c r="M35" s="145">
        <v>8.5178875638841564E-3</v>
      </c>
    </row>
    <row r="36" spans="1:13">
      <c r="A36" s="135" t="s">
        <v>224</v>
      </c>
      <c r="B36" s="154">
        <v>0</v>
      </c>
      <c r="C36" s="154">
        <v>0</v>
      </c>
      <c r="D36" s="138">
        <v>0.8</v>
      </c>
      <c r="E36" s="138">
        <v>0.8</v>
      </c>
      <c r="F36" s="138">
        <v>25</v>
      </c>
      <c r="G36" s="138">
        <v>25</v>
      </c>
      <c r="H36" s="138">
        <v>0.5</v>
      </c>
      <c r="I36" s="138">
        <v>0.5</v>
      </c>
      <c r="J36" s="140">
        <v>1</v>
      </c>
      <c r="K36" s="140">
        <v>1.5</v>
      </c>
      <c r="L36" s="140">
        <v>3.5</v>
      </c>
      <c r="M36" s="140">
        <v>1</v>
      </c>
    </row>
    <row r="37" spans="1:13">
      <c r="A37" s="135" t="s">
        <v>225</v>
      </c>
      <c r="B37" s="138">
        <v>0.9865593870945798</v>
      </c>
      <c r="C37" s="138">
        <v>0.54885830274315961</v>
      </c>
      <c r="D37" s="138">
        <v>1.1693657440478726</v>
      </c>
      <c r="E37" s="138">
        <v>0.67305362059014562</v>
      </c>
      <c r="F37" s="138">
        <v>6.8728888519697637</v>
      </c>
      <c r="G37" s="155">
        <v>4.3978930675624763</v>
      </c>
      <c r="H37" s="138">
        <v>0.99997321314171317</v>
      </c>
      <c r="I37" s="138">
        <v>0.59173700902089954</v>
      </c>
      <c r="J37" s="138">
        <v>2.1798409203922873</v>
      </c>
      <c r="K37" s="138">
        <v>1.0684882803913009</v>
      </c>
      <c r="L37" s="138">
        <v>1.9040438584623027</v>
      </c>
      <c r="M37" s="138">
        <v>1.0119280274438474</v>
      </c>
    </row>
    <row r="38" spans="1:13">
      <c r="A38" s="135" t="s">
        <v>140</v>
      </c>
      <c r="B38" s="153">
        <v>21.562785614529052</v>
      </c>
      <c r="C38" s="153">
        <v>-37.892833317379683</v>
      </c>
      <c r="D38" s="153">
        <v>8.1752396928765947</v>
      </c>
      <c r="E38" s="153">
        <v>9.6870913205243188</v>
      </c>
      <c r="F38" s="153">
        <v>33.473634918173438</v>
      </c>
      <c r="G38" s="153">
        <v>26.41746106735178</v>
      </c>
      <c r="H38" s="153">
        <v>10.448853366677287</v>
      </c>
      <c r="I38" s="153">
        <v>1.2164803202891974</v>
      </c>
      <c r="J38" s="153">
        <v>11.761964974832114</v>
      </c>
      <c r="K38" s="153">
        <v>0.77142601245331477</v>
      </c>
      <c r="L38" s="153">
        <v>8.3661042043951142</v>
      </c>
      <c r="M38" s="153">
        <v>9.715137118577184</v>
      </c>
    </row>
    <row r="39" spans="1:13">
      <c r="A39" s="135"/>
      <c r="B39" s="135"/>
      <c r="C39" s="135"/>
      <c r="D39" s="135"/>
      <c r="F39" s="139"/>
      <c r="G39" s="139"/>
      <c r="H39" s="139"/>
      <c r="I39" s="135"/>
      <c r="J39" s="140"/>
      <c r="K39" s="140"/>
      <c r="L39" s="140"/>
      <c r="M39" s="140"/>
    </row>
    <row r="40" spans="1:13">
      <c r="A40" s="137" t="s">
        <v>226</v>
      </c>
      <c r="B40" s="135"/>
      <c r="C40" s="135"/>
      <c r="D40" s="135"/>
      <c r="F40" s="139"/>
      <c r="G40" s="139"/>
      <c r="H40" s="139"/>
      <c r="I40" s="135"/>
      <c r="J40" s="140"/>
      <c r="K40" s="140"/>
      <c r="L40" s="140"/>
      <c r="M40" s="140"/>
    </row>
    <row r="41" spans="1:13">
      <c r="A41" s="135" t="s">
        <v>259</v>
      </c>
      <c r="B41" s="151">
        <v>489.65</v>
      </c>
      <c r="C41" s="151">
        <v>283.7</v>
      </c>
      <c r="D41" s="151">
        <v>100.8</v>
      </c>
      <c r="E41" s="151">
        <v>57.74</v>
      </c>
      <c r="F41" s="151">
        <v>10288.200000000001</v>
      </c>
      <c r="G41" s="151">
        <v>6960.9</v>
      </c>
      <c r="H41" s="151">
        <v>348.2</v>
      </c>
      <c r="I41" s="135">
        <v>205.05</v>
      </c>
      <c r="J41" s="151">
        <v>279.60000000000002</v>
      </c>
      <c r="K41" s="151">
        <v>147.85</v>
      </c>
      <c r="L41" s="151">
        <v>221.2</v>
      </c>
      <c r="M41" s="151">
        <v>117.4</v>
      </c>
    </row>
    <row r="42" spans="1:13">
      <c r="A42" s="135" t="s">
        <v>227</v>
      </c>
      <c r="B42" s="151">
        <v>25726.400000000001</v>
      </c>
      <c r="C42" s="151">
        <v>26792.645</v>
      </c>
      <c r="D42" s="151">
        <v>10557.99</v>
      </c>
      <c r="E42" s="151">
        <v>10777</v>
      </c>
      <c r="F42" s="151">
        <v>44289.599999999999</v>
      </c>
      <c r="G42" s="151">
        <v>46713.8</v>
      </c>
      <c r="H42" s="151">
        <v>2797.2</v>
      </c>
      <c r="I42" s="151">
        <v>2783.6469999999999</v>
      </c>
      <c r="J42" s="151">
        <v>3955.27</v>
      </c>
      <c r="K42" s="151">
        <v>4376.17</v>
      </c>
      <c r="L42" s="151">
        <v>5070.3100000000004</v>
      </c>
      <c r="M42" s="151">
        <v>5063.43</v>
      </c>
    </row>
    <row r="43" spans="1:13">
      <c r="A43" s="135" t="s">
        <v>228</v>
      </c>
      <c r="B43" s="153">
        <v>496.3208565092271</v>
      </c>
      <c r="C43" s="153">
        <v>516.89115129002346</v>
      </c>
      <c r="D43" s="153">
        <v>86.200575408572377</v>
      </c>
      <c r="E43" s="153">
        <v>85.788112913459287</v>
      </c>
      <c r="F43" s="153">
        <v>1496.9251244404181</v>
      </c>
      <c r="G43" s="153">
        <v>1582.7806390613462</v>
      </c>
      <c r="H43" s="153">
        <v>348.20932743390813</v>
      </c>
      <c r="I43" s="153">
        <v>346.52218278400403</v>
      </c>
      <c r="J43" s="153">
        <v>128.26624061616516</v>
      </c>
      <c r="K43" s="153">
        <v>138.37306661506338</v>
      </c>
      <c r="L43" s="153">
        <v>116.17379453572048</v>
      </c>
      <c r="M43" s="153">
        <v>116.01615610603751</v>
      </c>
    </row>
    <row r="44" spans="1:13">
      <c r="A44" s="135" t="s">
        <v>143</v>
      </c>
      <c r="B44" s="145">
        <v>2.0569142981528701E-2</v>
      </c>
      <c r="C44" s="145">
        <v>-3.9189859754421408E-2</v>
      </c>
      <c r="D44" s="145">
        <v>9.344865831469816E-2</v>
      </c>
      <c r="E44" s="145">
        <v>3.5288113575206462E-2</v>
      </c>
      <c r="F44" s="145">
        <v>0.13654221307033704</v>
      </c>
      <c r="G44" s="145">
        <v>1.0845403285538747E-2</v>
      </c>
      <c r="H44" s="145">
        <v>5.6896181896181904E-2</v>
      </c>
      <c r="I44" s="145">
        <v>-3.3844090145050717E-3</v>
      </c>
      <c r="J44" s="145">
        <v>0.14043794734619888</v>
      </c>
      <c r="K44" s="145">
        <v>8.5081475354019609E-2</v>
      </c>
      <c r="L44" s="145">
        <v>0.13923606248927581</v>
      </c>
      <c r="M44" s="145">
        <v>2.905184825306166E-2</v>
      </c>
    </row>
    <row r="45" spans="1:13">
      <c r="A45" s="135" t="s">
        <v>144</v>
      </c>
      <c r="B45" s="145">
        <v>2.6487651658871913E-2</v>
      </c>
      <c r="C45" s="145">
        <v>-3.1614448792194341E-2</v>
      </c>
      <c r="D45" s="145">
        <v>0.13090502614028873</v>
      </c>
      <c r="E45" s="145">
        <v>6.1257452285367518E-2</v>
      </c>
      <c r="F45" s="145">
        <v>0.15710125467187808</v>
      </c>
      <c r="G45" s="145">
        <v>0.11879292007106979</v>
      </c>
      <c r="H45" s="145">
        <v>5.9852086799886364E-2</v>
      </c>
      <c r="I45" s="145">
        <v>0.45125945513040483</v>
      </c>
      <c r="J45" s="145">
        <v>0.15123079266463266</v>
      </c>
      <c r="K45" s="145">
        <v>1.3993093464534652</v>
      </c>
      <c r="L45" s="145">
        <v>0.15979950695448877</v>
      </c>
      <c r="M45" s="145">
        <v>3.6608792128614849E-2</v>
      </c>
    </row>
    <row r="46" spans="1:13">
      <c r="A46" s="135" t="s">
        <v>229</v>
      </c>
      <c r="B46" s="156">
        <v>711.23000000000013</v>
      </c>
      <c r="C46" s="156">
        <v>-863</v>
      </c>
      <c r="D46" s="157">
        <v>1729.69</v>
      </c>
      <c r="E46" s="157">
        <v>918.58</v>
      </c>
      <c r="F46" s="157">
        <v>7347.5</v>
      </c>
      <c r="G46" s="157">
        <v>5796.75</v>
      </c>
      <c r="H46" s="157">
        <v>191.71999999999997</v>
      </c>
      <c r="I46" s="157">
        <v>1413.7160000000001</v>
      </c>
      <c r="J46" s="157">
        <v>655.28</v>
      </c>
      <c r="K46" s="157">
        <v>6653.1940000000004</v>
      </c>
      <c r="L46" s="157">
        <v>878.32999999999993</v>
      </c>
      <c r="M46" s="157">
        <v>200.48600000000005</v>
      </c>
    </row>
    <row r="47" spans="1:13">
      <c r="A47" s="135" t="s">
        <v>230</v>
      </c>
      <c r="B47" s="154">
        <v>501.65</v>
      </c>
      <c r="C47" s="158">
        <v>489</v>
      </c>
      <c r="D47" s="151">
        <v>466.17</v>
      </c>
      <c r="E47" s="131">
        <v>530.91999999999996</v>
      </c>
      <c r="F47" s="159">
        <v>1766.9</v>
      </c>
      <c r="G47" s="159">
        <v>1978.1</v>
      </c>
      <c r="H47" s="159">
        <v>122.18</v>
      </c>
      <c r="I47" s="135">
        <v>128.48400000000001</v>
      </c>
      <c r="J47" s="160">
        <v>141.37</v>
      </c>
      <c r="K47" s="160">
        <v>185.14599999999999</v>
      </c>
      <c r="L47" s="160">
        <v>285.69</v>
      </c>
      <c r="M47" s="160">
        <v>344.34899999999999</v>
      </c>
    </row>
    <row r="48" spans="1:13">
      <c r="A48" s="135" t="s">
        <v>31</v>
      </c>
      <c r="B48" s="156">
        <v>26851.38</v>
      </c>
      <c r="C48" s="156">
        <v>27297.645</v>
      </c>
      <c r="D48" s="156">
        <v>13213.32</v>
      </c>
      <c r="E48" s="156">
        <v>14995.4</v>
      </c>
      <c r="F48" s="156">
        <v>46769.2</v>
      </c>
      <c r="G48" s="156">
        <v>48797.100000000006</v>
      </c>
      <c r="H48" s="157">
        <v>3203.2299999999996</v>
      </c>
      <c r="I48" s="157">
        <v>3132.8229999999999</v>
      </c>
      <c r="J48" s="157">
        <v>4332.9799999999996</v>
      </c>
      <c r="K48" s="157">
        <v>4754.6270000000004</v>
      </c>
      <c r="L48" s="157">
        <v>5496.4500000000007</v>
      </c>
      <c r="M48" s="157">
        <v>5476.4440000000004</v>
      </c>
    </row>
    <row r="49" spans="1:13">
      <c r="A49" s="135" t="s">
        <v>231</v>
      </c>
      <c r="B49" s="154">
        <v>1124.98</v>
      </c>
      <c r="C49" s="154">
        <v>505</v>
      </c>
      <c r="D49" s="153">
        <v>2655.33</v>
      </c>
      <c r="E49" s="153">
        <v>4218.3999999999996</v>
      </c>
      <c r="F49" s="159">
        <v>2479.6</v>
      </c>
      <c r="G49" s="159">
        <v>2083.3000000000002</v>
      </c>
      <c r="H49" s="161">
        <v>406.03</v>
      </c>
      <c r="I49" s="135">
        <v>349.17599999999999</v>
      </c>
      <c r="J49" s="160">
        <v>377.71</v>
      </c>
      <c r="K49" s="160">
        <v>378.45699999999999</v>
      </c>
      <c r="L49" s="160">
        <v>426.14</v>
      </c>
      <c r="M49" s="160">
        <v>413.01400000000001</v>
      </c>
    </row>
    <row r="50" spans="1:13">
      <c r="A50" s="135" t="s">
        <v>152</v>
      </c>
      <c r="B50" s="153">
        <v>2.4701942276275188</v>
      </c>
      <c r="C50" s="153">
        <v>1.6277178073637049</v>
      </c>
      <c r="D50" s="153">
        <v>2.3545538782685376</v>
      </c>
      <c r="E50" s="153">
        <v>1.3740290118176899</v>
      </c>
      <c r="F50" s="153">
        <v>1.8429521242831699</v>
      </c>
      <c r="G50" s="153">
        <v>1.5985721144075657</v>
      </c>
      <c r="H50" s="153">
        <v>1.5407978156686883</v>
      </c>
      <c r="I50" s="153">
        <v>1.3796832667975945</v>
      </c>
      <c r="J50" s="153">
        <v>1.9104973207100282</v>
      </c>
      <c r="K50" s="153">
        <v>2.1781172055333489</v>
      </c>
      <c r="L50" s="153">
        <v>1.5205886146212926</v>
      </c>
      <c r="M50" s="153">
        <v>1.3506137515465655</v>
      </c>
    </row>
    <row r="51" spans="1:13">
      <c r="A51" s="135" t="s">
        <v>232</v>
      </c>
      <c r="B51" s="153">
        <v>5430.36</v>
      </c>
      <c r="C51" s="153">
        <v>5081</v>
      </c>
      <c r="D51" s="135">
        <v>8011.16</v>
      </c>
      <c r="E51" s="131">
        <v>9520.7999999999993</v>
      </c>
      <c r="F51" s="139">
        <v>15759.5</v>
      </c>
      <c r="G51" s="139">
        <v>17137.7</v>
      </c>
      <c r="H51" s="139">
        <v>2308.35</v>
      </c>
      <c r="I51" s="135">
        <v>2251.299</v>
      </c>
      <c r="J51" s="140">
        <v>1898.43</v>
      </c>
      <c r="K51" s="140">
        <v>3077.0889999999999</v>
      </c>
      <c r="L51" s="140">
        <v>3915.92</v>
      </c>
      <c r="M51" s="140">
        <v>3628.9229999999998</v>
      </c>
    </row>
    <row r="52" spans="1:13">
      <c r="A52" s="135" t="s">
        <v>233</v>
      </c>
      <c r="B52" s="153">
        <v>629.24</v>
      </c>
      <c r="C52" s="153">
        <v>725.01</v>
      </c>
      <c r="D52" s="135">
        <v>695.29</v>
      </c>
      <c r="E52" s="131">
        <v>1934.7</v>
      </c>
      <c r="F52" s="139">
        <v>4204.7</v>
      </c>
      <c r="G52" s="139">
        <v>10328.5</v>
      </c>
      <c r="H52" s="139">
        <v>160.1</v>
      </c>
      <c r="I52" s="135">
        <v>174.42699999999999</v>
      </c>
      <c r="J52" s="140">
        <v>1098.46</v>
      </c>
      <c r="K52" s="140">
        <v>0.15</v>
      </c>
      <c r="L52" s="140">
        <v>0.1</v>
      </c>
      <c r="M52" s="140">
        <v>84.143000000000001</v>
      </c>
    </row>
    <row r="53" spans="1:13">
      <c r="A53" s="135" t="s">
        <v>234</v>
      </c>
      <c r="B53" s="153">
        <v>0.3</v>
      </c>
      <c r="C53" s="153">
        <v>0.27900000000000003</v>
      </c>
      <c r="D53" s="139">
        <v>2.72</v>
      </c>
      <c r="E53" s="131">
        <v>1.9</v>
      </c>
      <c r="F53" s="139">
        <v>7605.1</v>
      </c>
      <c r="G53" s="139">
        <v>6486.1</v>
      </c>
      <c r="H53" s="139">
        <v>0.04</v>
      </c>
      <c r="I53" s="135">
        <v>3.7999999999999999E-2</v>
      </c>
      <c r="J53" s="140">
        <v>59.89</v>
      </c>
      <c r="K53" s="140">
        <v>63.21</v>
      </c>
      <c r="L53" s="140">
        <v>38.35</v>
      </c>
      <c r="M53" s="152"/>
    </row>
    <row r="54" spans="1:13">
      <c r="A54" s="135" t="s">
        <v>148</v>
      </c>
      <c r="B54" s="153">
        <v>3.7262112071646238E-2</v>
      </c>
      <c r="C54" s="153">
        <v>1.6863322004975617E-2</v>
      </c>
      <c r="D54" s="153">
        <v>0.54527518969046196</v>
      </c>
      <c r="E54" s="153">
        <v>0.64718381738888375</v>
      </c>
      <c r="F54" s="153">
        <v>3.1244355333983599E-2</v>
      </c>
      <c r="G54" s="153">
        <v>1.0056985301987849E-2</v>
      </c>
      <c r="H54" s="153">
        <v>0.17972615472615475</v>
      </c>
      <c r="I54" s="153">
        <v>8.8464521543141078E-2</v>
      </c>
      <c r="J54" s="153">
        <v>0.2231680770212906</v>
      </c>
      <c r="K54" s="153">
        <v>0.14884019587904493</v>
      </c>
      <c r="L54" s="153">
        <v>6.8607244921908131E-2</v>
      </c>
      <c r="M54" s="153">
        <v>7.5183620589205344E-2</v>
      </c>
    </row>
    <row r="55" spans="1:13">
      <c r="A55" s="135" t="s">
        <v>235</v>
      </c>
      <c r="B55" s="153">
        <v>3.0025576839355677E-2</v>
      </c>
      <c r="C55" s="153">
        <v>-1.9910165644340078E-2</v>
      </c>
      <c r="D55" s="153">
        <v>0.5309277618183007</v>
      </c>
      <c r="E55" s="153">
        <v>0.62985431938387315</v>
      </c>
      <c r="F55" s="153">
        <v>1.5683140059968931E-2</v>
      </c>
      <c r="G55" s="153">
        <v>-1.0810509956372622E-3</v>
      </c>
      <c r="H55" s="153">
        <v>0.17259044759044762</v>
      </c>
      <c r="I55" s="153">
        <v>8.2219117582078491E-2</v>
      </c>
      <c r="J55" s="153">
        <v>0.18919315242701512</v>
      </c>
      <c r="K55" s="153">
        <v>0.13696611420488694</v>
      </c>
      <c r="L55" s="153">
        <v>1.6610424214692991E-2</v>
      </c>
      <c r="M55" s="153">
        <v>3.3439782913953588E-2</v>
      </c>
    </row>
    <row r="56" spans="1:13">
      <c r="A56" s="135" t="s">
        <v>149</v>
      </c>
      <c r="B56" s="153">
        <v>14.873065662902555</v>
      </c>
      <c r="C56" s="153">
        <v>-13.676270165763368</v>
      </c>
      <c r="D56" s="153">
        <v>5.8679309291990371</v>
      </c>
      <c r="E56" s="153">
        <v>2.2390737355271177</v>
      </c>
      <c r="F56" s="153">
        <v>80.125408942202839</v>
      </c>
      <c r="G56" s="153">
        <v>73.37658227848101</v>
      </c>
      <c r="H56" s="153">
        <v>8.6947845804988653</v>
      </c>
      <c r="I56" s="153">
        <v>43.972503888024889</v>
      </c>
      <c r="J56" s="153">
        <v>33.432653061224485</v>
      </c>
      <c r="K56" s="153">
        <v>300.62780714834395</v>
      </c>
      <c r="L56" s="153">
        <v>47.683496199782837</v>
      </c>
      <c r="M56" s="153">
        <v>5.6896444078667319</v>
      </c>
    </row>
    <row r="57" spans="1:13">
      <c r="A57" s="135" t="s">
        <v>229</v>
      </c>
      <c r="B57" s="153">
        <v>711.23000000000013</v>
      </c>
      <c r="C57" s="153">
        <v>-863</v>
      </c>
      <c r="D57" s="153">
        <v>1729.69</v>
      </c>
      <c r="E57" s="153">
        <v>918.58</v>
      </c>
      <c r="F57" s="153">
        <v>7347.5</v>
      </c>
      <c r="G57" s="153">
        <v>5796.75</v>
      </c>
      <c r="H57" s="153">
        <v>191.71999999999997</v>
      </c>
      <c r="I57" s="153">
        <v>1413.7160000000001</v>
      </c>
      <c r="J57" s="153">
        <v>655.28</v>
      </c>
      <c r="K57" s="153">
        <v>6653.1940000000004</v>
      </c>
      <c r="L57" s="153">
        <v>878.32999999999993</v>
      </c>
      <c r="M57" s="153">
        <v>200.48600000000005</v>
      </c>
    </row>
    <row r="58" spans="1:13">
      <c r="A58" s="135" t="s">
        <v>91</v>
      </c>
      <c r="B58" s="153">
        <v>47.82</v>
      </c>
      <c r="C58" s="153">
        <v>63.101999999999997</v>
      </c>
      <c r="D58" s="139">
        <v>294.77</v>
      </c>
      <c r="E58" s="131">
        <v>410.25</v>
      </c>
      <c r="F58" s="139">
        <v>91.7</v>
      </c>
      <c r="G58" s="139">
        <v>79</v>
      </c>
      <c r="H58" s="139">
        <v>22.05</v>
      </c>
      <c r="I58" s="135">
        <v>32.15</v>
      </c>
      <c r="J58" s="139">
        <v>19.600000000000001</v>
      </c>
      <c r="K58" s="139">
        <v>22.131</v>
      </c>
      <c r="L58" s="140">
        <v>18.420000000000002</v>
      </c>
      <c r="M58" s="140">
        <v>35.237000000000002</v>
      </c>
    </row>
    <row r="59" spans="1:13">
      <c r="A59" s="162" t="s">
        <v>150</v>
      </c>
      <c r="B59" s="163">
        <v>4.9884208549790331E-2</v>
      </c>
      <c r="C59" s="163">
        <v>0.13966397602547956</v>
      </c>
      <c r="D59" s="163">
        <v>5.1201925999781128E-2</v>
      </c>
      <c r="E59" s="163">
        <v>5.8819734182115356E-2</v>
      </c>
      <c r="F59" s="163">
        <v>6.6266801560919214E-2</v>
      </c>
      <c r="G59" s="163">
        <v>0.16815666240953597</v>
      </c>
      <c r="H59" s="163">
        <v>4.3860521552324311E-2</v>
      </c>
      <c r="I59" s="163">
        <v>0.13055625492377787</v>
      </c>
      <c r="J59" s="163">
        <v>2.2204851080220689E-2</v>
      </c>
      <c r="K59" s="163">
        <v>3.3977124433868119E-2</v>
      </c>
      <c r="L59" s="163">
        <v>5.2952337147128159E-2</v>
      </c>
      <c r="M59" s="163">
        <v>9.2561605728590679E-2</v>
      </c>
    </row>
    <row r="61" spans="1:13">
      <c r="A61" s="141" t="s">
        <v>236</v>
      </c>
    </row>
    <row r="62" spans="1:13">
      <c r="A62" s="131" t="s">
        <v>152</v>
      </c>
      <c r="B62" s="131" t="s">
        <v>237</v>
      </c>
      <c r="E62" s="164"/>
      <c r="F62" s="164"/>
    </row>
    <row r="63" spans="1:13">
      <c r="A63" s="131" t="s">
        <v>238</v>
      </c>
      <c r="B63" s="131" t="s">
        <v>239</v>
      </c>
    </row>
    <row r="64" spans="1:13">
      <c r="A64" s="131" t="s">
        <v>62</v>
      </c>
      <c r="B64" s="131" t="s">
        <v>240</v>
      </c>
    </row>
    <row r="65" spans="1:2">
      <c r="A65" s="131" t="s">
        <v>241</v>
      </c>
      <c r="B65" s="131" t="s">
        <v>242</v>
      </c>
    </row>
    <row r="66" spans="1:2">
      <c r="A66" s="131" t="s">
        <v>229</v>
      </c>
      <c r="B66" s="131" t="s">
        <v>243</v>
      </c>
    </row>
    <row r="67" spans="1:2">
      <c r="A67" s="131" t="s">
        <v>144</v>
      </c>
      <c r="B67" s="131" t="s">
        <v>244</v>
      </c>
    </row>
    <row r="68" spans="1:2">
      <c r="A68" s="131" t="s">
        <v>245</v>
      </c>
      <c r="B68" s="131" t="s">
        <v>246</v>
      </c>
    </row>
    <row r="69" spans="1:2">
      <c r="A69" s="131" t="s">
        <v>247</v>
      </c>
      <c r="B69" s="131" t="s">
        <v>248</v>
      </c>
    </row>
    <row r="70" spans="1:2">
      <c r="A70" s="131" t="s">
        <v>249</v>
      </c>
      <c r="B70" s="131" t="s">
        <v>250</v>
      </c>
    </row>
    <row r="71" spans="1:2">
      <c r="A71" s="131" t="s">
        <v>251</v>
      </c>
      <c r="B71" s="131" t="s">
        <v>252</v>
      </c>
    </row>
    <row r="72" spans="1:2">
      <c r="A72" s="131" t="s">
        <v>149</v>
      </c>
      <c r="B72" s="131" t="s">
        <v>253</v>
      </c>
    </row>
    <row r="73" spans="1:2">
      <c r="A73" s="131" t="s">
        <v>150</v>
      </c>
      <c r="B73" s="131" t="s">
        <v>254</v>
      </c>
    </row>
  </sheetData>
  <mergeCells count="6">
    <mergeCell ref="L2:M2"/>
    <mergeCell ref="B2:C2"/>
    <mergeCell ref="D2:E2"/>
    <mergeCell ref="F2:G2"/>
    <mergeCell ref="H2:I2"/>
    <mergeCell ref="J2:K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2"/>
  <sheetViews>
    <sheetView topLeftCell="A30" zoomScale="115" zoomScaleNormal="115" workbookViewId="0">
      <selection activeCell="G38" sqref="G38:G50"/>
    </sheetView>
  </sheetViews>
  <sheetFormatPr defaultRowHeight="14.5"/>
  <cols>
    <col min="1" max="1" width="26.1796875" bestFit="1" customWidth="1"/>
    <col min="5" max="5" width="11.1796875" bestFit="1" customWidth="1"/>
  </cols>
  <sheetData>
    <row r="1" spans="1:13" ht="18.5">
      <c r="A1" s="211" t="s">
        <v>120</v>
      </c>
      <c r="B1" s="212"/>
      <c r="C1" s="212"/>
      <c r="D1" s="212"/>
      <c r="E1" s="212"/>
      <c r="F1" s="212"/>
      <c r="G1" s="212"/>
    </row>
    <row r="2" spans="1:13" ht="15.5">
      <c r="A2" s="50" t="s">
        <v>155</v>
      </c>
      <c r="B2" s="51" t="s">
        <v>121</v>
      </c>
      <c r="C2" s="51" t="s">
        <v>122</v>
      </c>
      <c r="D2" s="51" t="s">
        <v>123</v>
      </c>
      <c r="E2" s="51" t="s">
        <v>124</v>
      </c>
      <c r="F2" s="51" t="s">
        <v>125</v>
      </c>
      <c r="G2" s="51" t="s">
        <v>126</v>
      </c>
      <c r="I2" s="51" t="s">
        <v>122</v>
      </c>
      <c r="J2" s="51" t="s">
        <v>123</v>
      </c>
      <c r="K2" s="51" t="s">
        <v>124</v>
      </c>
      <c r="L2" s="51" t="s">
        <v>125</v>
      </c>
      <c r="M2" s="51" t="s">
        <v>126</v>
      </c>
    </row>
    <row r="3" spans="1:13" ht="15.5">
      <c r="A3" s="213" t="s">
        <v>184</v>
      </c>
      <c r="B3" s="214"/>
      <c r="C3" s="214"/>
      <c r="D3" s="214"/>
      <c r="E3" s="214"/>
      <c r="F3" s="214"/>
      <c r="G3" s="214"/>
    </row>
    <row r="4" spans="1:13">
      <c r="A4" s="52" t="s">
        <v>74</v>
      </c>
      <c r="B4" s="54"/>
      <c r="C4" s="53"/>
      <c r="D4" s="53"/>
      <c r="E4" s="53"/>
      <c r="F4" s="53"/>
      <c r="G4" s="54"/>
    </row>
    <row r="5" spans="1:13">
      <c r="A5" s="54" t="s">
        <v>127</v>
      </c>
      <c r="B5" s="68">
        <f>'Summary sheet'!J4</f>
        <v>9570.2860000000001</v>
      </c>
      <c r="C5" s="55">
        <v>12264</v>
      </c>
      <c r="D5" s="55">
        <v>4020</v>
      </c>
      <c r="E5" s="55">
        <v>3549</v>
      </c>
      <c r="F5" s="55">
        <v>2465</v>
      </c>
      <c r="G5" s="55">
        <v>37315</v>
      </c>
      <c r="I5">
        <v>12344</v>
      </c>
      <c r="J5" s="64">
        <v>3472</v>
      </c>
      <c r="K5" s="64">
        <v>3059</v>
      </c>
      <c r="L5" s="64">
        <v>2483</v>
      </c>
      <c r="M5" s="64">
        <v>28339</v>
      </c>
    </row>
    <row r="6" spans="1:13">
      <c r="A6" s="54" t="s">
        <v>128</v>
      </c>
      <c r="B6" s="70">
        <f>'Summary sheet'!J8</f>
        <v>-5.5018030127749529E-2</v>
      </c>
      <c r="C6" s="69">
        <v>0.02</v>
      </c>
      <c r="D6" s="69">
        <f>+((D5/J5)^(1/3)-1)</f>
        <v>5.0063216566525348E-2</v>
      </c>
      <c r="E6" s="69">
        <f>+((E5/K5)^(1/3)-1)</f>
        <v>5.0772844879497958E-2</v>
      </c>
      <c r="F6" s="69">
        <f>+((F5/L5)^(1/3)-1)</f>
        <v>-2.4222945088782089E-3</v>
      </c>
      <c r="G6" s="69">
        <f>+((G5/M5)^(1/3)-1)</f>
        <v>9.6056583257357664E-2</v>
      </c>
    </row>
    <row r="7" spans="1:13">
      <c r="A7" s="54" t="s">
        <v>3</v>
      </c>
      <c r="B7" s="55">
        <f>'Summary sheet'!J16</f>
        <v>825.95300000000134</v>
      </c>
      <c r="C7" s="55">
        <v>846</v>
      </c>
      <c r="D7" s="55">
        <v>1035</v>
      </c>
      <c r="E7" s="55">
        <v>432</v>
      </c>
      <c r="F7" s="55">
        <v>239</v>
      </c>
      <c r="G7" s="55">
        <v>9171</v>
      </c>
      <c r="I7">
        <v>2261</v>
      </c>
      <c r="J7" s="64">
        <v>624</v>
      </c>
      <c r="K7" s="64">
        <v>519</v>
      </c>
      <c r="L7" s="64">
        <v>775</v>
      </c>
      <c r="M7" s="64">
        <v>5094</v>
      </c>
    </row>
    <row r="8" spans="1:13">
      <c r="A8" s="54" t="s">
        <v>128</v>
      </c>
      <c r="B8" s="70">
        <f>'Summary sheet'!J18</f>
        <v>-0.23001790945873102</v>
      </c>
      <c r="C8" s="69">
        <f>+((C7/I7)^(1/3)-1)</f>
        <v>-0.27940717489856892</v>
      </c>
      <c r="D8" s="69">
        <f>+((D7/J7)^(1/3)-1)</f>
        <v>0.18372799854383248</v>
      </c>
      <c r="E8" s="69">
        <f>+((E7/K7)^(1/3)-1)</f>
        <v>-5.9326745260117719E-2</v>
      </c>
      <c r="F8" s="69">
        <f>+((F7/L7)^(1/3)-1)</f>
        <v>-0.3243858562281875</v>
      </c>
      <c r="G8" s="69">
        <f>+((G7/M7)^(1/3)-1)</f>
        <v>0.21651999346150896</v>
      </c>
    </row>
    <row r="9" spans="1:13">
      <c r="A9" s="54" t="s">
        <v>129</v>
      </c>
      <c r="B9" s="70">
        <f t="shared" ref="B9:G9" si="0">B7/B5</f>
        <v>8.6303899381899488E-2</v>
      </c>
      <c r="C9" s="56">
        <f t="shared" si="0"/>
        <v>6.8982387475538157E-2</v>
      </c>
      <c r="D9" s="56">
        <f t="shared" si="0"/>
        <v>0.2574626865671642</v>
      </c>
      <c r="E9" s="56">
        <f t="shared" si="0"/>
        <v>0.12172442941673711</v>
      </c>
      <c r="F9" s="56">
        <f t="shared" si="0"/>
        <v>9.6957403651115617E-2</v>
      </c>
      <c r="G9" s="56">
        <f t="shared" si="0"/>
        <v>0.24577247755594264</v>
      </c>
    </row>
    <row r="10" spans="1:13">
      <c r="A10" s="54" t="s">
        <v>9</v>
      </c>
      <c r="B10" s="55">
        <f>'Summary sheet'!J27</f>
        <v>217.73000000000133</v>
      </c>
      <c r="C10" s="55">
        <v>398</v>
      </c>
      <c r="D10" s="55">
        <v>627</v>
      </c>
      <c r="E10" s="55">
        <v>285</v>
      </c>
      <c r="F10" s="55">
        <v>125</v>
      </c>
      <c r="G10" s="55">
        <v>6600</v>
      </c>
      <c r="I10">
        <v>1329</v>
      </c>
      <c r="J10" s="64">
        <v>435</v>
      </c>
      <c r="K10" s="64">
        <v>302</v>
      </c>
      <c r="L10" s="64">
        <v>529</v>
      </c>
      <c r="M10" s="64">
        <v>3230</v>
      </c>
    </row>
    <row r="11" spans="1:13">
      <c r="A11" s="54" t="s">
        <v>128</v>
      </c>
      <c r="B11" s="70">
        <f>'Summary sheet'!H29</f>
        <v>1.8505335959970282E-2</v>
      </c>
      <c r="C11" s="69">
        <v>-0.3</v>
      </c>
      <c r="D11" s="69">
        <f>+((D10/J10)^(1/3)-1)</f>
        <v>0.12960366980289062</v>
      </c>
      <c r="E11" s="69">
        <f>+((E10/K10)^(1/3)-1)</f>
        <v>-1.9127318623169631E-2</v>
      </c>
      <c r="F11" s="69">
        <f>+((F10/L10)^(1/3)-1)</f>
        <v>-0.38176804785835528</v>
      </c>
      <c r="G11" s="69">
        <f>+((G10/M10)^(1/3)-1)</f>
        <v>0.26895767769500889</v>
      </c>
    </row>
    <row r="12" spans="1:13">
      <c r="A12" s="54" t="s">
        <v>130</v>
      </c>
      <c r="B12" s="70">
        <f t="shared" ref="B12:G12" si="1">B10/B5</f>
        <v>2.2750626261326078E-2</v>
      </c>
      <c r="C12" s="56">
        <f t="shared" si="1"/>
        <v>3.2452707110241355E-2</v>
      </c>
      <c r="D12" s="56">
        <f t="shared" si="1"/>
        <v>0.15597014925373134</v>
      </c>
      <c r="E12" s="56">
        <f t="shared" si="1"/>
        <v>8.0304311073541843E-2</v>
      </c>
      <c r="F12" s="56">
        <f t="shared" si="1"/>
        <v>5.0709939148073022E-2</v>
      </c>
      <c r="G12" s="56">
        <f t="shared" si="1"/>
        <v>0.17687257135200321</v>
      </c>
    </row>
    <row r="13" spans="1:13">
      <c r="A13" s="54" t="s">
        <v>11</v>
      </c>
      <c r="B13" s="54">
        <f>'Summary sheet'!J36</f>
        <v>48.69</v>
      </c>
      <c r="C13" s="54">
        <v>3.24</v>
      </c>
      <c r="D13" s="54">
        <v>14.36</v>
      </c>
      <c r="E13" s="54">
        <v>9.25</v>
      </c>
      <c r="F13" s="54">
        <v>15.24</v>
      </c>
      <c r="G13" s="54">
        <v>221.17</v>
      </c>
      <c r="I13">
        <v>12</v>
      </c>
      <c r="J13">
        <v>23.02</v>
      </c>
      <c r="K13">
        <v>10</v>
      </c>
      <c r="L13">
        <v>72.36</v>
      </c>
      <c r="M13">
        <v>109</v>
      </c>
    </row>
    <row r="14" spans="1:13">
      <c r="A14" s="54" t="s">
        <v>128</v>
      </c>
      <c r="B14" s="71">
        <f>'Summary sheet'!H38</f>
        <v>-2.2933756316049214E-3</v>
      </c>
      <c r="C14" s="69">
        <f>+((C13/I13)^(1/3)-1)</f>
        <v>-0.35366959299043488</v>
      </c>
      <c r="D14" s="69">
        <f>+((D13/J13)^(1/3)-1)</f>
        <v>-0.14555711013539285</v>
      </c>
      <c r="E14" s="69">
        <f>+((E13/K13)^(1/3)-1)</f>
        <v>-2.5652419812671079E-2</v>
      </c>
      <c r="F14" s="69">
        <f>+((F13/L13)^(1/3)-1)</f>
        <v>-0.40502944977971056</v>
      </c>
      <c r="G14" s="69">
        <f>+((G13/M13)^(1/3)-1)</f>
        <v>0.2659986425050227</v>
      </c>
    </row>
    <row r="15" spans="1:13">
      <c r="A15" s="54"/>
      <c r="B15" s="54"/>
      <c r="C15" s="54"/>
      <c r="D15" s="54"/>
      <c r="E15" s="54"/>
      <c r="F15" s="54"/>
      <c r="G15" s="54"/>
    </row>
    <row r="16" spans="1:13">
      <c r="A16" s="215" t="s">
        <v>131</v>
      </c>
      <c r="B16" s="216"/>
      <c r="C16" s="216"/>
      <c r="D16" s="216"/>
      <c r="E16" s="216"/>
      <c r="F16" s="216"/>
      <c r="G16" s="217"/>
    </row>
    <row r="17" spans="1:7">
      <c r="A17" s="54" t="s">
        <v>132</v>
      </c>
      <c r="B17" s="55">
        <f>'Summary sheet'!Z6</f>
        <v>21844.440000000002</v>
      </c>
      <c r="C17" s="55">
        <v>9754.7000000000007</v>
      </c>
      <c r="D17" s="55">
        <v>4021.7</v>
      </c>
      <c r="E17" s="55">
        <v>2938</v>
      </c>
      <c r="F17" s="55">
        <v>2653.1</v>
      </c>
      <c r="G17" s="55">
        <v>153519</v>
      </c>
    </row>
    <row r="18" spans="1:7">
      <c r="A18" s="54" t="s">
        <v>63</v>
      </c>
      <c r="B18" s="68">
        <f t="shared" ref="B18:G18" si="2">B19+B20</f>
        <v>1485.03</v>
      </c>
      <c r="C18" s="55">
        <f t="shared" si="2"/>
        <v>1612.3</v>
      </c>
      <c r="D18" s="55">
        <f t="shared" si="2"/>
        <v>206.8</v>
      </c>
      <c r="E18" s="55">
        <f t="shared" si="2"/>
        <v>272.3</v>
      </c>
      <c r="F18" s="55">
        <f t="shared" si="2"/>
        <v>127.6</v>
      </c>
      <c r="G18" s="55">
        <f t="shared" si="2"/>
        <v>0</v>
      </c>
    </row>
    <row r="19" spans="1:7">
      <c r="A19" s="57" t="s">
        <v>133</v>
      </c>
      <c r="B19" s="55">
        <f>'Summary sheet'!Z8</f>
        <v>951.53</v>
      </c>
      <c r="C19" s="55">
        <v>0</v>
      </c>
      <c r="D19" s="55">
        <v>0</v>
      </c>
      <c r="E19" s="55">
        <v>2.8</v>
      </c>
      <c r="F19" s="55">
        <v>0</v>
      </c>
      <c r="G19" s="55">
        <v>0</v>
      </c>
    </row>
    <row r="20" spans="1:7">
      <c r="A20" s="57" t="s">
        <v>134</v>
      </c>
      <c r="B20" s="55">
        <f>'Summary sheet'!Z9</f>
        <v>533.5</v>
      </c>
      <c r="C20" s="55">
        <v>1612.3</v>
      </c>
      <c r="D20" s="55">
        <v>206.8</v>
      </c>
      <c r="E20" s="55">
        <v>269.5</v>
      </c>
      <c r="F20" s="55">
        <v>127.6</v>
      </c>
      <c r="G20" s="55">
        <v>0</v>
      </c>
    </row>
    <row r="21" spans="1:7">
      <c r="A21" s="54"/>
      <c r="B21" s="54"/>
      <c r="C21" s="54"/>
      <c r="D21" s="54"/>
      <c r="E21" s="54"/>
      <c r="F21" s="54"/>
      <c r="G21" s="54"/>
    </row>
    <row r="22" spans="1:7">
      <c r="A22" s="54"/>
      <c r="B22" s="54"/>
      <c r="C22" s="54"/>
      <c r="D22" s="54"/>
      <c r="E22" s="54"/>
      <c r="F22" s="54"/>
      <c r="G22" s="54"/>
    </row>
    <row r="23" spans="1:7">
      <c r="A23" s="210" t="s">
        <v>12</v>
      </c>
      <c r="B23" s="210"/>
      <c r="C23" s="210"/>
      <c r="D23" s="210"/>
      <c r="E23" s="210"/>
      <c r="F23" s="210"/>
      <c r="G23" s="54"/>
    </row>
    <row r="24" spans="1:7">
      <c r="A24" s="54" t="s">
        <v>135</v>
      </c>
      <c r="B24" s="82">
        <f>'Summary sheet'!J44</f>
        <v>722.12</v>
      </c>
      <c r="C24" s="58">
        <v>95.59</v>
      </c>
      <c r="D24" s="58">
        <v>729.18299999999999</v>
      </c>
      <c r="E24" s="54">
        <v>755.85699999999997</v>
      </c>
      <c r="F24" s="54">
        <v>263.24900000000002</v>
      </c>
      <c r="G24" s="54">
        <v>8813.7999999999993</v>
      </c>
    </row>
    <row r="25" spans="1:7">
      <c r="A25" s="54" t="s">
        <v>20</v>
      </c>
      <c r="B25" s="72">
        <f>'Summary sheet'!H58</f>
        <v>0</v>
      </c>
      <c r="C25" s="59">
        <f>C24-805.05</f>
        <v>-709.45999999999992</v>
      </c>
      <c r="D25" s="59">
        <f>D24-667.642</f>
        <v>61.54099999999994</v>
      </c>
      <c r="E25" s="59">
        <f>E24-428.973</f>
        <v>326.88399999999996</v>
      </c>
      <c r="F25" s="54">
        <f>F24-400.899</f>
        <v>-137.64999999999998</v>
      </c>
      <c r="G25" s="54">
        <f>G24-3739.9</f>
        <v>5073.8999999999996</v>
      </c>
    </row>
    <row r="26" spans="1:7">
      <c r="A26" s="54"/>
      <c r="B26" s="54"/>
      <c r="C26" s="54"/>
      <c r="D26" s="54"/>
      <c r="E26" s="54"/>
      <c r="F26" s="54"/>
      <c r="G26" s="54"/>
    </row>
    <row r="27" spans="1:7">
      <c r="A27" s="54" t="s">
        <v>151</v>
      </c>
      <c r="B27" s="55">
        <f>'Summary sheet'!J62</f>
        <v>13095.502727800002</v>
      </c>
      <c r="C27" s="55">
        <v>8991</v>
      </c>
      <c r="D27" s="55">
        <v>5084</v>
      </c>
      <c r="E27" s="55">
        <v>3225</v>
      </c>
      <c r="F27" s="55">
        <v>1249</v>
      </c>
      <c r="G27" s="55">
        <v>120221</v>
      </c>
    </row>
    <row r="28" spans="1:7">
      <c r="A28" s="54" t="s">
        <v>136</v>
      </c>
      <c r="B28" s="55">
        <f>'Summary sheet'!J65</f>
        <v>14475.861727800002</v>
      </c>
      <c r="C28" s="55">
        <v>6637.3</v>
      </c>
      <c r="D28" s="55">
        <v>3153.7</v>
      </c>
      <c r="E28" s="55">
        <v>2541.6</v>
      </c>
      <c r="F28" s="55">
        <v>1360.3</v>
      </c>
      <c r="G28" s="55">
        <v>594266.19999999995</v>
      </c>
    </row>
    <row r="29" spans="1:7">
      <c r="A29" s="54"/>
      <c r="B29" s="54"/>
      <c r="C29" s="54"/>
      <c r="D29" s="54"/>
      <c r="E29" s="218"/>
      <c r="F29" s="218"/>
      <c r="G29" s="54"/>
    </row>
    <row r="30" spans="1:7">
      <c r="A30" s="54"/>
      <c r="B30" s="54"/>
      <c r="C30" s="54"/>
      <c r="D30" s="54"/>
      <c r="E30" s="218"/>
      <c r="F30" s="218"/>
      <c r="G30" s="54"/>
    </row>
    <row r="31" spans="1:7">
      <c r="A31" s="210" t="s">
        <v>137</v>
      </c>
      <c r="B31" s="210"/>
      <c r="C31" s="210"/>
      <c r="D31" s="210"/>
      <c r="E31" s="210"/>
      <c r="F31" s="210"/>
      <c r="G31" s="54"/>
    </row>
    <row r="32" spans="1:7">
      <c r="A32" s="54" t="s">
        <v>138</v>
      </c>
      <c r="B32" s="73">
        <f>'Summary sheet'!Z62</f>
        <v>8.5808174163072497</v>
      </c>
      <c r="C32" s="59">
        <v>27.49</v>
      </c>
      <c r="D32" s="59">
        <v>13.05</v>
      </c>
      <c r="E32" s="59">
        <v>16.97</v>
      </c>
      <c r="F32" s="59">
        <v>10.27</v>
      </c>
      <c r="G32" s="59">
        <v>0.88</v>
      </c>
    </row>
    <row r="33" spans="1:7">
      <c r="A33" s="54" t="s">
        <v>49</v>
      </c>
      <c r="B33" s="71">
        <f>'Summary sheet'!Z69</f>
        <v>0</v>
      </c>
      <c r="C33" s="60">
        <f>C39/C38</f>
        <v>1.8912529550827426E-2</v>
      </c>
      <c r="D33" s="60">
        <f>D39/D38</f>
        <v>3.8986354775828458E-2</v>
      </c>
      <c r="E33" s="60">
        <f>E39/E38</f>
        <v>6.7658998646820019E-3</v>
      </c>
      <c r="F33" s="60">
        <f>F39/F38</f>
        <v>2.2988505747126436E-2</v>
      </c>
      <c r="G33" s="60">
        <f>G39/G38</f>
        <v>6.9185000691850008E-3</v>
      </c>
    </row>
    <row r="34" spans="1:7">
      <c r="A34" s="54" t="s">
        <v>139</v>
      </c>
      <c r="B34" s="73">
        <f>'Summary sheet'!Z60</f>
        <v>696.92681691596579</v>
      </c>
      <c r="C34" s="59">
        <v>0.54</v>
      </c>
      <c r="D34" s="59">
        <v>0.84</v>
      </c>
      <c r="E34" s="59">
        <v>0.78</v>
      </c>
      <c r="F34" s="59">
        <v>0.47</v>
      </c>
      <c r="G34" s="59">
        <v>3.74</v>
      </c>
    </row>
    <row r="35" spans="1:7">
      <c r="A35" s="54" t="s">
        <v>140</v>
      </c>
      <c r="B35" s="72">
        <v>5.16</v>
      </c>
      <c r="C35" s="59">
        <v>4.2</v>
      </c>
      <c r="D35" s="59">
        <v>3.06</v>
      </c>
      <c r="E35" s="59">
        <v>5.75</v>
      </c>
      <c r="F35" s="59">
        <v>5.05</v>
      </c>
      <c r="G35" s="59">
        <v>60.64</v>
      </c>
    </row>
    <row r="36" spans="1:7">
      <c r="A36" s="54"/>
      <c r="B36" s="54"/>
      <c r="C36" s="54"/>
      <c r="D36" s="54"/>
      <c r="E36" s="54"/>
      <c r="F36" s="54"/>
      <c r="G36" s="54"/>
    </row>
    <row r="37" spans="1:7">
      <c r="A37" s="210" t="s">
        <v>141</v>
      </c>
      <c r="B37" s="210"/>
      <c r="C37" s="210"/>
      <c r="D37" s="210"/>
      <c r="E37" s="210"/>
      <c r="F37" s="210"/>
      <c r="G37" s="54"/>
    </row>
    <row r="38" spans="1:7">
      <c r="A38" s="54" t="s">
        <v>153</v>
      </c>
      <c r="B38" s="54">
        <f>'Summary sheet'!X58</f>
        <v>272.85000000000002</v>
      </c>
      <c r="C38" s="54">
        <v>42.3</v>
      </c>
      <c r="D38" s="54">
        <v>76.95</v>
      </c>
      <c r="E38" s="54">
        <v>73.900000000000006</v>
      </c>
      <c r="F38" s="54">
        <v>152.25</v>
      </c>
      <c r="G38" s="54">
        <v>3974.85</v>
      </c>
    </row>
    <row r="39" spans="1:7">
      <c r="A39" s="54" t="s">
        <v>154</v>
      </c>
      <c r="B39" s="54">
        <v>0.5</v>
      </c>
      <c r="C39" s="54">
        <v>0.8</v>
      </c>
      <c r="D39" s="54">
        <v>3</v>
      </c>
      <c r="E39" s="54">
        <v>0.5</v>
      </c>
      <c r="F39" s="54">
        <v>3.5</v>
      </c>
      <c r="G39" s="54">
        <v>27.5</v>
      </c>
    </row>
    <row r="40" spans="1:7">
      <c r="A40" s="54" t="s">
        <v>142</v>
      </c>
      <c r="B40" s="59">
        <f>'Summary sheet'!X60</f>
        <v>616.84329458018863</v>
      </c>
      <c r="C40" s="59">
        <v>78.489999999999995</v>
      </c>
      <c r="D40" s="59">
        <v>92.15</v>
      </c>
      <c r="E40" s="59">
        <v>95.28</v>
      </c>
      <c r="F40" s="59">
        <v>323.45</v>
      </c>
      <c r="G40" s="59">
        <v>1071.8599999999999</v>
      </c>
    </row>
    <row r="41" spans="1:7">
      <c r="A41" s="54" t="s">
        <v>143</v>
      </c>
      <c r="B41" s="74">
        <f>'Summary sheet'!Z65</f>
        <v>0.11553525748428438</v>
      </c>
      <c r="C41" s="56">
        <v>0.10639999999999999</v>
      </c>
      <c r="D41" s="56">
        <v>0.1636</v>
      </c>
      <c r="E41" s="56">
        <v>0.10580000000000001</v>
      </c>
      <c r="F41" s="56">
        <v>5.9200000000000003E-2</v>
      </c>
      <c r="G41" s="56">
        <v>4.2200000000000001E-2</v>
      </c>
    </row>
    <row r="42" spans="1:7">
      <c r="A42" s="54" t="s">
        <v>144</v>
      </c>
      <c r="B42" s="70">
        <f>'Summary sheet'!Z66</f>
        <v>1.5876414456822602E-2</v>
      </c>
      <c r="C42" s="56">
        <v>0.13420000000000001</v>
      </c>
      <c r="D42" s="56">
        <v>0.1794</v>
      </c>
      <c r="E42" s="56">
        <v>0.1124</v>
      </c>
      <c r="F42" s="56">
        <v>7.2400000000000006E-2</v>
      </c>
      <c r="G42" s="56">
        <v>4.9700000000000001E-2</v>
      </c>
    </row>
    <row r="43" spans="1:7">
      <c r="A43" s="54" t="s">
        <v>152</v>
      </c>
      <c r="B43" s="75">
        <v>54.3</v>
      </c>
      <c r="C43" s="61">
        <v>83.28</v>
      </c>
      <c r="D43" s="61">
        <v>78.599999999999994</v>
      </c>
      <c r="E43" s="61">
        <v>73.39</v>
      </c>
      <c r="F43" s="61">
        <v>80.55</v>
      </c>
      <c r="G43" s="61">
        <v>19.72</v>
      </c>
    </row>
    <row r="44" spans="1:7">
      <c r="A44" s="54" t="s">
        <v>145</v>
      </c>
      <c r="B44" s="76">
        <f>'Summary sheet'!Z72</f>
        <v>65.981172034505093</v>
      </c>
      <c r="C44" s="65" t="s">
        <v>171</v>
      </c>
      <c r="D44" s="65" t="s">
        <v>166</v>
      </c>
      <c r="E44" s="65" t="s">
        <v>161</v>
      </c>
      <c r="F44" s="65" t="s">
        <v>156</v>
      </c>
      <c r="G44" s="62">
        <v>63.23</v>
      </c>
    </row>
    <row r="45" spans="1:7">
      <c r="A45" s="54" t="s">
        <v>52</v>
      </c>
      <c r="B45" s="76">
        <f>'Summary sheet'!X72</f>
        <v>50.747025165297394</v>
      </c>
      <c r="C45" s="65" t="s">
        <v>172</v>
      </c>
      <c r="D45" s="65" t="s">
        <v>167</v>
      </c>
      <c r="E45" s="65" t="s">
        <v>162</v>
      </c>
      <c r="F45" s="65" t="s">
        <v>157</v>
      </c>
      <c r="G45" s="62">
        <v>45.26</v>
      </c>
    </row>
    <row r="46" spans="1:7">
      <c r="A46" s="54" t="s">
        <v>146</v>
      </c>
      <c r="B46" s="76">
        <f>'Summary sheet'!Z71</f>
        <v>103.44327606233662</v>
      </c>
      <c r="C46" s="65" t="s">
        <v>173</v>
      </c>
      <c r="D46" s="65" t="s">
        <v>168</v>
      </c>
      <c r="E46" s="65" t="s">
        <v>163</v>
      </c>
      <c r="F46" s="65" t="s">
        <v>158</v>
      </c>
      <c r="G46" s="62">
        <v>49.37</v>
      </c>
    </row>
    <row r="47" spans="1:7">
      <c r="A47" s="54" t="s">
        <v>147</v>
      </c>
      <c r="B47" s="77">
        <f>'Summary sheet'!Z73</f>
        <v>81.723459901835923</v>
      </c>
      <c r="C47" s="65" t="s">
        <v>174</v>
      </c>
      <c r="D47" s="65" t="s">
        <v>169</v>
      </c>
      <c r="E47" s="65" t="s">
        <v>164</v>
      </c>
      <c r="F47" s="65" t="s">
        <v>159</v>
      </c>
      <c r="G47" s="62">
        <v>59.13</v>
      </c>
    </row>
    <row r="48" spans="1:7">
      <c r="A48" s="54" t="s">
        <v>148</v>
      </c>
      <c r="B48" s="78">
        <f>'Summary sheet'!Z67</f>
        <v>6.7982058592483935E-2</v>
      </c>
      <c r="C48" s="62">
        <v>0.17</v>
      </c>
      <c r="D48" s="62">
        <v>0.05</v>
      </c>
      <c r="E48" s="62">
        <v>0.09</v>
      </c>
      <c r="F48" s="62">
        <v>0.05</v>
      </c>
      <c r="G48" s="62">
        <v>0</v>
      </c>
    </row>
    <row r="49" spans="1:7">
      <c r="A49" s="54" t="s">
        <v>149</v>
      </c>
      <c r="B49" s="79" t="s">
        <v>176</v>
      </c>
      <c r="C49" s="66" t="s">
        <v>175</v>
      </c>
      <c r="D49" s="66" t="s">
        <v>170</v>
      </c>
      <c r="E49" s="66" t="s">
        <v>165</v>
      </c>
      <c r="F49" s="66" t="s">
        <v>160</v>
      </c>
      <c r="G49" s="62">
        <v>90.41</v>
      </c>
    </row>
    <row r="50" spans="1:7">
      <c r="A50" s="54" t="s">
        <v>150</v>
      </c>
      <c r="B50" s="80">
        <f>'Summary sheet'!Z75</f>
        <v>2.6994067459916636E-2</v>
      </c>
      <c r="C50" s="63">
        <f>C52/C18</f>
        <v>0.11803014327358433</v>
      </c>
      <c r="D50" s="63">
        <f>D52/D18</f>
        <v>8.1237911025145063E-2</v>
      </c>
      <c r="E50" s="63">
        <f>E52/E18</f>
        <v>7.8222548659566654E-2</v>
      </c>
      <c r="F50" s="63">
        <f>F52/F18</f>
        <v>8.6990595611285262E-2</v>
      </c>
      <c r="G50" s="63" t="s">
        <v>178</v>
      </c>
    </row>
    <row r="51" spans="1:7">
      <c r="A51" s="81" t="s">
        <v>179</v>
      </c>
    </row>
    <row r="52" spans="1:7">
      <c r="A52" t="s">
        <v>177</v>
      </c>
      <c r="B52">
        <v>48.4</v>
      </c>
      <c r="C52">
        <v>190.3</v>
      </c>
      <c r="D52">
        <v>16.8</v>
      </c>
      <c r="E52">
        <v>21.3</v>
      </c>
      <c r="F52">
        <v>11.1</v>
      </c>
      <c r="G52" s="67">
        <v>94</v>
      </c>
    </row>
  </sheetData>
  <mergeCells count="7">
    <mergeCell ref="A37:F37"/>
    <mergeCell ref="A1:G1"/>
    <mergeCell ref="A3:G3"/>
    <mergeCell ref="A16:G16"/>
    <mergeCell ref="A23:F23"/>
    <mergeCell ref="E29:F30"/>
    <mergeCell ref="A31:F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0"/>
  <sheetViews>
    <sheetView workbookViewId="0">
      <pane xSplit="7" ySplit="9" topLeftCell="H21" activePane="bottomRight" state="frozen"/>
      <selection pane="topRight" activeCell="H1" sqref="H1"/>
      <selection pane="bottomLeft" activeCell="A10" sqref="A10"/>
      <selection pane="bottomRight" activeCell="K27" sqref="K27:K28"/>
    </sheetView>
  </sheetViews>
  <sheetFormatPr defaultRowHeight="14.5"/>
  <cols>
    <col min="1" max="1" width="14.81640625" customWidth="1"/>
    <col min="2" max="2" width="11.26953125" customWidth="1"/>
    <col min="3" max="3" width="9.81640625" customWidth="1"/>
    <col min="4" max="4" width="11.81640625" customWidth="1"/>
    <col min="5" max="5" width="12.26953125" customWidth="1"/>
    <col min="7" max="7" width="12.1796875" customWidth="1"/>
    <col min="8" max="9" width="12.54296875" customWidth="1"/>
    <col min="11" max="11" width="11.26953125" customWidth="1"/>
    <col min="12" max="12" width="10.54296875" customWidth="1"/>
  </cols>
  <sheetData>
    <row r="1" spans="1:13" ht="19" thickBot="1">
      <c r="A1" s="225" t="s">
        <v>198</v>
      </c>
      <c r="B1" s="226"/>
      <c r="C1" s="226"/>
      <c r="D1" s="226"/>
      <c r="E1" s="226"/>
      <c r="F1" s="226"/>
      <c r="G1" s="226"/>
      <c r="H1" s="226"/>
      <c r="I1" s="226"/>
      <c r="J1" s="226"/>
      <c r="K1" s="227"/>
    </row>
    <row r="2" spans="1:13" ht="15" thickBot="1">
      <c r="A2" s="98"/>
      <c r="B2" s="228" t="s">
        <v>199</v>
      </c>
      <c r="C2" s="229"/>
      <c r="D2" s="228" t="s">
        <v>200</v>
      </c>
      <c r="E2" s="229"/>
      <c r="F2" s="228" t="s">
        <v>201</v>
      </c>
      <c r="G2" s="229"/>
      <c r="H2" s="228" t="s">
        <v>202</v>
      </c>
      <c r="I2" s="229"/>
      <c r="J2" s="228" t="s">
        <v>203</v>
      </c>
      <c r="K2" s="230"/>
      <c r="L2" s="115" t="s">
        <v>204</v>
      </c>
      <c r="M2" s="114"/>
    </row>
    <row r="3" spans="1:13" ht="15" thickBot="1">
      <c r="A3" s="99"/>
      <c r="B3" s="101" t="s">
        <v>183</v>
      </c>
      <c r="C3" s="101" t="s">
        <v>193</v>
      </c>
      <c r="D3" s="101" t="s">
        <v>183</v>
      </c>
      <c r="E3" s="101" t="s">
        <v>193</v>
      </c>
      <c r="F3" s="101" t="s">
        <v>183</v>
      </c>
      <c r="G3" s="101" t="s">
        <v>193</v>
      </c>
      <c r="H3" s="101" t="s">
        <v>183</v>
      </c>
      <c r="I3" s="101" t="s">
        <v>193</v>
      </c>
      <c r="J3" s="101" t="s">
        <v>183</v>
      </c>
      <c r="K3" s="101" t="s">
        <v>193</v>
      </c>
      <c r="L3" s="113" t="s">
        <v>183</v>
      </c>
      <c r="M3" s="113" t="s">
        <v>193</v>
      </c>
    </row>
    <row r="4" spans="1:13" ht="15" thickBot="1">
      <c r="A4" s="219" t="s">
        <v>74</v>
      </c>
      <c r="B4" s="220"/>
      <c r="C4" s="220"/>
      <c r="D4" s="220"/>
      <c r="E4" s="220"/>
      <c r="F4" s="220"/>
      <c r="G4" s="220"/>
      <c r="H4" s="220"/>
      <c r="I4" s="220"/>
      <c r="J4" s="220"/>
      <c r="K4" s="221"/>
    </row>
    <row r="5" spans="1:13" ht="29.5" thickBot="1">
      <c r="A5" s="98" t="s">
        <v>194</v>
      </c>
      <c r="B5" s="68">
        <f>'Summary sheet'!J4</f>
        <v>9570.2860000000001</v>
      </c>
      <c r="C5" s="68">
        <v>6506.5339999999997</v>
      </c>
      <c r="D5" s="103">
        <v>12264</v>
      </c>
      <c r="E5" s="55">
        <v>8915</v>
      </c>
      <c r="F5" s="104">
        <v>5180.68</v>
      </c>
      <c r="G5" s="103">
        <v>3458</v>
      </c>
      <c r="H5" s="105">
        <v>34628.199999999997</v>
      </c>
      <c r="I5" s="102">
        <v>20486.669999999998</v>
      </c>
      <c r="J5" s="102">
        <v>31763</v>
      </c>
      <c r="K5" s="102">
        <v>18542</v>
      </c>
    </row>
    <row r="6" spans="1:13" ht="29.5" thickBot="1">
      <c r="A6" s="98" t="s">
        <v>128</v>
      </c>
      <c r="B6" s="70">
        <f>'Summary sheet'!J8</f>
        <v>-5.5018030127749529E-2</v>
      </c>
      <c r="C6" s="95">
        <v>-0.20783300315546027</v>
      </c>
      <c r="D6" s="99">
        <v>0.02</v>
      </c>
      <c r="E6" s="69">
        <v>0.02</v>
      </c>
      <c r="F6" s="106">
        <v>0.20899999999999999</v>
      </c>
      <c r="G6" s="99"/>
      <c r="H6" s="106">
        <v>6.9000000000000006E-2</v>
      </c>
      <c r="I6" s="99"/>
      <c r="J6" s="106">
        <v>0.153</v>
      </c>
      <c r="K6" s="99"/>
    </row>
    <row r="7" spans="1:13" ht="15" thickBot="1">
      <c r="A7" s="98" t="s">
        <v>3</v>
      </c>
      <c r="B7" s="55">
        <f>'Summary sheet'!J16</f>
        <v>825.95300000000134</v>
      </c>
      <c r="C7" s="55">
        <v>479.35800000000017</v>
      </c>
      <c r="D7" s="102">
        <v>846</v>
      </c>
      <c r="E7" s="55">
        <v>975</v>
      </c>
      <c r="F7" s="107">
        <v>742.46</v>
      </c>
      <c r="G7" s="107">
        <v>433.92</v>
      </c>
      <c r="H7" s="102">
        <v>9893.1</v>
      </c>
      <c r="I7" s="102">
        <v>5109.67</v>
      </c>
      <c r="J7" s="102">
        <v>6445</v>
      </c>
      <c r="K7" s="102">
        <v>3409</v>
      </c>
    </row>
    <row r="8" spans="1:13" ht="29.5" thickBot="1">
      <c r="A8" s="98" t="s">
        <v>128</v>
      </c>
      <c r="B8" s="70">
        <f>'Summary sheet'!J18</f>
        <v>-0.23001790945873102</v>
      </c>
      <c r="C8" s="70">
        <v>-0.23001790945873102</v>
      </c>
      <c r="D8" s="107">
        <v>-0.27940717489856892</v>
      </c>
      <c r="E8" s="69">
        <v>-0.24449962463529584</v>
      </c>
      <c r="F8" s="106">
        <v>0.312</v>
      </c>
      <c r="G8" s="99"/>
      <c r="H8" s="106">
        <v>0.26900000000000002</v>
      </c>
      <c r="I8" s="99"/>
      <c r="J8" s="106">
        <v>0.26700000000000002</v>
      </c>
      <c r="K8" s="99"/>
    </row>
    <row r="9" spans="1:13" ht="29.5" thickBot="1">
      <c r="A9" s="98" t="s">
        <v>129</v>
      </c>
      <c r="B9" s="70">
        <f t="shared" ref="B9" si="0">B7/B5</f>
        <v>8.6303899381899488E-2</v>
      </c>
      <c r="C9" s="95">
        <v>7.3673325921296995E-2</v>
      </c>
      <c r="D9" s="106">
        <v>6.8982387475538157E-2</v>
      </c>
      <c r="E9" s="56">
        <v>0.10936623667975323</v>
      </c>
      <c r="F9" s="106">
        <v>0.14330000000000001</v>
      </c>
      <c r="G9" s="106">
        <v>0.1255</v>
      </c>
      <c r="H9" s="106">
        <v>0.28570000000000001</v>
      </c>
      <c r="I9" s="106">
        <v>0.24940000000000001</v>
      </c>
      <c r="J9" s="107">
        <v>20.29</v>
      </c>
      <c r="K9" s="106">
        <v>0.18390000000000001</v>
      </c>
    </row>
    <row r="10" spans="1:13" ht="15" thickBot="1">
      <c r="A10" s="98" t="s">
        <v>9</v>
      </c>
      <c r="B10" s="55">
        <f>'Summary sheet'!J27</f>
        <v>217.73000000000133</v>
      </c>
      <c r="C10" s="55">
        <v>191.56300000000019</v>
      </c>
      <c r="D10" s="102">
        <v>398</v>
      </c>
      <c r="E10" s="55">
        <v>524</v>
      </c>
      <c r="F10" s="107">
        <v>444.74</v>
      </c>
      <c r="G10" s="107">
        <v>228.1</v>
      </c>
      <c r="H10" s="102">
        <v>7377.9</v>
      </c>
      <c r="I10" s="102">
        <v>3787</v>
      </c>
      <c r="J10" s="102">
        <v>4082</v>
      </c>
      <c r="K10" s="102">
        <v>2184</v>
      </c>
    </row>
    <row r="11" spans="1:13" ht="29.5" thickBot="1">
      <c r="A11" s="98" t="s">
        <v>128</v>
      </c>
      <c r="B11" s="70">
        <f>'Summary sheet'!H29</f>
        <v>1.8505335959970282E-2</v>
      </c>
      <c r="C11" s="95">
        <v>-0.45088374062039061</v>
      </c>
      <c r="D11" s="107">
        <v>-0.3</v>
      </c>
      <c r="E11" s="69">
        <v>-0.3</v>
      </c>
      <c r="F11" s="106">
        <v>0.26300000000000001</v>
      </c>
      <c r="G11" s="99"/>
      <c r="H11" s="106">
        <v>0.34</v>
      </c>
      <c r="I11" s="99"/>
      <c r="J11" s="106">
        <v>0.32500000000000001</v>
      </c>
      <c r="K11" s="99"/>
    </row>
    <row r="12" spans="1:13" ht="15" thickBot="1">
      <c r="A12" s="98" t="s">
        <v>130</v>
      </c>
      <c r="B12" s="70">
        <f t="shared" ref="B12" si="1">B10/B5</f>
        <v>2.2750626261326078E-2</v>
      </c>
      <c r="C12" s="95">
        <v>2.944163513169995E-2</v>
      </c>
      <c r="D12" s="108">
        <v>3.2452707110241355E-2</v>
      </c>
      <c r="E12" s="56">
        <v>5.8777341559169936E-2</v>
      </c>
      <c r="F12" s="106">
        <v>8.5900000000000004E-2</v>
      </c>
      <c r="G12" s="106">
        <v>6.6000000000000003E-2</v>
      </c>
      <c r="H12" s="106">
        <v>0.21299999999999999</v>
      </c>
      <c r="I12" s="106">
        <v>0.18490000000000001</v>
      </c>
      <c r="J12" s="106">
        <v>0.1285</v>
      </c>
      <c r="K12" s="106">
        <v>0.1178</v>
      </c>
    </row>
    <row r="13" spans="1:13" ht="15" thickBot="1">
      <c r="A13" s="98" t="s">
        <v>11</v>
      </c>
      <c r="B13" s="54">
        <f>'Summary sheet'!J36</f>
        <v>48.69</v>
      </c>
      <c r="C13" s="96">
        <v>36.99</v>
      </c>
      <c r="D13" s="107">
        <v>3.24</v>
      </c>
      <c r="E13" s="54">
        <v>4.5</v>
      </c>
      <c r="F13" s="107">
        <v>33.93</v>
      </c>
      <c r="G13" s="107">
        <v>17.38</v>
      </c>
      <c r="H13" s="107">
        <v>11.89</v>
      </c>
      <c r="I13" s="107">
        <v>6.1</v>
      </c>
      <c r="J13" s="107">
        <v>20.13</v>
      </c>
      <c r="K13" s="107">
        <v>10.71</v>
      </c>
    </row>
    <row r="14" spans="1:13" ht="15" thickBot="1">
      <c r="A14" s="98"/>
      <c r="B14" s="71">
        <f>'Summary sheet'!H38</f>
        <v>-2.2933756316049214E-3</v>
      </c>
      <c r="C14" s="71">
        <v>-0.20034631614891907</v>
      </c>
      <c r="D14" s="99">
        <v>-0.35366959299043488</v>
      </c>
      <c r="E14" s="69">
        <v>-0.27887521484629585</v>
      </c>
      <c r="F14" s="99"/>
      <c r="G14" s="99"/>
      <c r="H14" s="99"/>
      <c r="I14" s="99"/>
      <c r="J14" s="99"/>
      <c r="K14" s="99"/>
    </row>
    <row r="15" spans="1:13" ht="15" thickBot="1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</row>
    <row r="16" spans="1:13" ht="15" thickBot="1">
      <c r="A16" s="219" t="s">
        <v>131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1"/>
    </row>
    <row r="17" spans="1:13" ht="15" thickBot="1">
      <c r="A17" s="98" t="s">
        <v>132</v>
      </c>
      <c r="B17" s="55">
        <f>'Summary sheet'!Z6</f>
        <v>21844.440000000002</v>
      </c>
      <c r="C17" s="55">
        <v>23760.99</v>
      </c>
      <c r="D17" s="55">
        <v>10215</v>
      </c>
      <c r="E17" s="104">
        <v>11154.04</v>
      </c>
      <c r="F17" s="55">
        <v>4645</v>
      </c>
      <c r="G17" s="103">
        <v>3752</v>
      </c>
      <c r="H17" s="55">
        <v>3691</v>
      </c>
      <c r="I17" s="103">
        <v>35018</v>
      </c>
      <c r="J17" s="55">
        <v>2838.2150000000001</v>
      </c>
      <c r="K17" s="102">
        <v>21187</v>
      </c>
      <c r="L17" s="55">
        <v>153519</v>
      </c>
      <c r="M17" s="55">
        <v>42810</v>
      </c>
    </row>
    <row r="18" spans="1:13" ht="15" thickBot="1">
      <c r="A18" s="98" t="s">
        <v>63</v>
      </c>
      <c r="B18" s="68">
        <f t="shared" ref="B18" si="2">B19+B20</f>
        <v>1485.03</v>
      </c>
      <c r="C18" s="68">
        <v>278.858</v>
      </c>
      <c r="D18" s="55">
        <f>D19+D20</f>
        <v>3504</v>
      </c>
      <c r="E18" s="107">
        <v>1594.1</v>
      </c>
      <c r="F18" s="55">
        <f t="shared" ref="F18" si="3">F19+F20</f>
        <v>45.2</v>
      </c>
      <c r="G18" s="107">
        <v>237.5</v>
      </c>
      <c r="H18" s="55">
        <f t="shared" ref="H18" si="4">H19+H20</f>
        <v>880</v>
      </c>
      <c r="I18" s="107">
        <v>302.7</v>
      </c>
      <c r="J18" s="55">
        <f t="shared" ref="J18" si="5">J19+J20</f>
        <v>154.154</v>
      </c>
      <c r="K18" s="107">
        <v>831</v>
      </c>
      <c r="L18" s="55">
        <f t="shared" ref="L18:M18" si="6">L19+L20</f>
        <v>0</v>
      </c>
      <c r="M18" s="55">
        <f t="shared" si="6"/>
        <v>0</v>
      </c>
    </row>
    <row r="19" spans="1:13" ht="15" thickBot="1">
      <c r="A19" s="110" t="s">
        <v>133</v>
      </c>
      <c r="B19" s="55">
        <f>'Summary sheet'!Z8</f>
        <v>951.53</v>
      </c>
      <c r="C19" s="55">
        <v>273.358</v>
      </c>
      <c r="D19" s="55">
        <v>1164</v>
      </c>
      <c r="E19" s="107" t="s">
        <v>182</v>
      </c>
      <c r="F19" s="55">
        <v>0</v>
      </c>
      <c r="G19" s="107">
        <v>129.05000000000001</v>
      </c>
      <c r="H19" s="55">
        <v>91</v>
      </c>
      <c r="I19" s="107">
        <v>1.1000000000000001</v>
      </c>
      <c r="J19" s="55">
        <v>0</v>
      </c>
      <c r="K19" s="107">
        <v>291</v>
      </c>
      <c r="L19" s="55">
        <v>0</v>
      </c>
      <c r="M19" s="55">
        <v>0</v>
      </c>
    </row>
    <row r="20" spans="1:13" ht="15" thickBot="1">
      <c r="A20" s="110" t="s">
        <v>134</v>
      </c>
      <c r="B20" s="55">
        <f>'Summary sheet'!Z9</f>
        <v>533.5</v>
      </c>
      <c r="C20" s="55">
        <v>5.5</v>
      </c>
      <c r="D20" s="55">
        <v>2340</v>
      </c>
      <c r="E20" s="103">
        <v>1594</v>
      </c>
      <c r="F20" s="55">
        <v>45.2</v>
      </c>
      <c r="G20" s="107">
        <v>108.02</v>
      </c>
      <c r="H20" s="55">
        <v>789</v>
      </c>
      <c r="I20" s="107">
        <v>301.60000000000002</v>
      </c>
      <c r="J20" s="55">
        <v>154.154</v>
      </c>
      <c r="K20" s="107">
        <v>540</v>
      </c>
      <c r="L20" s="55">
        <v>0</v>
      </c>
      <c r="M20" s="55">
        <v>0</v>
      </c>
    </row>
    <row r="21" spans="1:13" ht="15" thickBot="1">
      <c r="A21" s="98"/>
      <c r="B21" s="99"/>
      <c r="C21" s="99"/>
      <c r="D21" s="99"/>
      <c r="E21" s="99"/>
      <c r="F21" s="99"/>
      <c r="G21" s="99"/>
      <c r="H21" s="99"/>
      <c r="I21" s="99"/>
      <c r="J21" s="99"/>
      <c r="K21" s="99"/>
    </row>
    <row r="22" spans="1:13" ht="15" thickBot="1">
      <c r="A22" s="98"/>
      <c r="B22" s="99"/>
      <c r="C22" s="99"/>
      <c r="D22" s="99"/>
      <c r="E22" s="99"/>
      <c r="F22" s="99"/>
      <c r="G22" s="99"/>
      <c r="H22" s="99"/>
      <c r="I22" s="99"/>
      <c r="J22" s="99"/>
      <c r="K22" s="99"/>
    </row>
    <row r="23" spans="1:13" ht="15" thickBot="1">
      <c r="A23" s="222" t="s">
        <v>12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4"/>
    </row>
    <row r="24" spans="1:13" ht="15" thickBot="1">
      <c r="A24" s="98" t="s">
        <v>135</v>
      </c>
      <c r="B24" s="82">
        <f>'Summary sheet'!J44</f>
        <v>722.12</v>
      </c>
      <c r="C24" s="96">
        <v>269.84500000000003</v>
      </c>
      <c r="D24" s="58">
        <v>95.59</v>
      </c>
      <c r="E24" s="58">
        <v>-130</v>
      </c>
      <c r="F24" s="58">
        <v>729.18299999999999</v>
      </c>
      <c r="G24" s="58">
        <v>580</v>
      </c>
      <c r="H24" s="54">
        <v>755.85699999999997</v>
      </c>
      <c r="I24" s="54">
        <v>412</v>
      </c>
      <c r="J24" s="54">
        <v>263.24900000000002</v>
      </c>
      <c r="K24" s="54">
        <v>263.24900000000002</v>
      </c>
      <c r="L24" s="54">
        <v>8813.7999999999993</v>
      </c>
      <c r="M24" s="116">
        <v>4865</v>
      </c>
    </row>
    <row r="25" spans="1:13" ht="15" thickBot="1">
      <c r="A25" s="98" t="s">
        <v>20</v>
      </c>
      <c r="B25" s="72">
        <f>'Summary sheet'!H58</f>
        <v>0</v>
      </c>
      <c r="C25" s="73">
        <v>111.3820000000012</v>
      </c>
      <c r="D25" s="59">
        <f>D24-805.05</f>
        <v>-709.45999999999992</v>
      </c>
      <c r="E25" s="59">
        <v>-1911</v>
      </c>
      <c r="F25" s="59">
        <f>F24-667.642</f>
        <v>61.54099999999994</v>
      </c>
      <c r="G25" s="59">
        <v>183</v>
      </c>
      <c r="H25" s="59">
        <f>H24-428.973</f>
        <v>326.88399999999996</v>
      </c>
      <c r="I25" s="59">
        <v>84</v>
      </c>
      <c r="J25" s="54">
        <f>J24-400.899</f>
        <v>-137.64999999999998</v>
      </c>
      <c r="K25" s="54">
        <f>K24-400.899</f>
        <v>-137.64999999999998</v>
      </c>
      <c r="L25" s="54">
        <f>L24-3739.9</f>
        <v>5073.8999999999996</v>
      </c>
      <c r="M25">
        <v>2567</v>
      </c>
    </row>
    <row r="26" spans="1:13" ht="15" thickBot="1">
      <c r="A26" s="98"/>
      <c r="B26" s="55">
        <f>'Summary sheet'!J61</f>
        <v>31343951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3" ht="15" thickBot="1">
      <c r="A27" s="98" t="s">
        <v>60</v>
      </c>
      <c r="B27" s="55">
        <f>'Summary sheet'!J64</f>
        <v>104.67099999999999</v>
      </c>
      <c r="C27" s="103">
        <v>20491.640115900002</v>
      </c>
      <c r="D27" s="55">
        <v>8991</v>
      </c>
      <c r="E27" s="58">
        <v>-130</v>
      </c>
      <c r="F27" s="55">
        <v>5084</v>
      </c>
      <c r="G27" s="58">
        <v>580</v>
      </c>
      <c r="H27" s="55">
        <v>3225</v>
      </c>
      <c r="I27" s="54">
        <v>412</v>
      </c>
      <c r="J27" s="55">
        <v>1249</v>
      </c>
      <c r="K27" s="54">
        <v>263.24900000000002</v>
      </c>
      <c r="L27" s="55">
        <v>120221</v>
      </c>
    </row>
    <row r="28" spans="1:13" ht="29.5" thickBot="1">
      <c r="A28" s="98" t="s">
        <v>136</v>
      </c>
      <c r="B28" s="111">
        <v>4019</v>
      </c>
      <c r="C28" s="103">
        <v>20566.905115900001</v>
      </c>
      <c r="D28" s="55">
        <v>6637.3</v>
      </c>
      <c r="E28" s="59">
        <v>-1911</v>
      </c>
      <c r="F28" s="55">
        <v>3153.7</v>
      </c>
      <c r="G28" s="59">
        <v>183</v>
      </c>
      <c r="H28" s="55">
        <v>2541.6</v>
      </c>
      <c r="I28" s="59">
        <v>84</v>
      </c>
      <c r="J28" s="55">
        <v>1360.3</v>
      </c>
      <c r="K28" s="54">
        <f>K27-400.899</f>
        <v>-137.64999999999998</v>
      </c>
      <c r="L28" s="55">
        <v>594266.19999999995</v>
      </c>
    </row>
    <row r="29" spans="1:13" ht="15" thickBot="1">
      <c r="A29" s="98"/>
      <c r="B29" s="99"/>
      <c r="C29" s="99"/>
      <c r="D29" s="99"/>
      <c r="E29" s="99"/>
      <c r="F29" s="99"/>
      <c r="G29" s="99"/>
      <c r="H29" s="99"/>
      <c r="I29" s="99"/>
      <c r="J29" s="99"/>
      <c r="K29" s="99"/>
    </row>
    <row r="30" spans="1:13" ht="15" thickBot="1">
      <c r="A30" s="98"/>
      <c r="B30" s="99"/>
      <c r="C30" s="99"/>
      <c r="D30" s="99"/>
      <c r="E30" s="99"/>
      <c r="F30" s="99"/>
      <c r="G30" s="99"/>
      <c r="H30" s="99"/>
      <c r="I30" s="99"/>
      <c r="J30" s="99"/>
      <c r="K30" s="99"/>
    </row>
    <row r="31" spans="1:13" ht="15" thickBot="1">
      <c r="A31" s="219" t="s">
        <v>137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1"/>
    </row>
    <row r="32" spans="1:13" ht="15" thickBot="1">
      <c r="A32" s="98" t="s">
        <v>138</v>
      </c>
      <c r="B32" s="73">
        <f>'Summary sheet'!Z62</f>
        <v>8.5808174163072497</v>
      </c>
      <c r="C32" s="107">
        <v>13.851040821843741</v>
      </c>
      <c r="D32" s="59">
        <v>27.49</v>
      </c>
      <c r="E32" s="107">
        <v>15.9</v>
      </c>
      <c r="F32" s="107">
        <v>29.1</v>
      </c>
      <c r="G32" s="107">
        <v>21.3</v>
      </c>
      <c r="H32" s="107">
        <v>10.7</v>
      </c>
      <c r="I32" s="107">
        <v>17.100000000000001</v>
      </c>
      <c r="J32" s="107">
        <v>80.31</v>
      </c>
      <c r="K32" s="107">
        <v>100.37</v>
      </c>
    </row>
    <row r="33" spans="1:11" ht="15" thickBot="1">
      <c r="A33" s="98" t="s">
        <v>49</v>
      </c>
      <c r="B33" s="71">
        <f>'Summary sheet'!Z69</f>
        <v>0</v>
      </c>
      <c r="C33" s="106">
        <v>0</v>
      </c>
      <c r="D33" s="60">
        <v>1.8912529550827426E-2</v>
      </c>
      <c r="E33" s="106">
        <v>0</v>
      </c>
      <c r="F33" s="106">
        <v>0</v>
      </c>
      <c r="G33" s="106">
        <v>0</v>
      </c>
      <c r="H33" s="106">
        <v>3.1E-2</v>
      </c>
      <c r="I33" s="106">
        <v>0</v>
      </c>
      <c r="J33" s="106">
        <v>1E-3</v>
      </c>
      <c r="K33" s="107">
        <v>0</v>
      </c>
    </row>
    <row r="34" spans="1:11" ht="15" thickBot="1">
      <c r="A34" s="98" t="s">
        <v>139</v>
      </c>
      <c r="B34" s="73">
        <f>'Summary sheet'!Z60</f>
        <v>696.92681691596579</v>
      </c>
      <c r="C34" s="107">
        <v>594.09315982735416</v>
      </c>
      <c r="D34" s="59">
        <v>0.54</v>
      </c>
      <c r="E34" s="107">
        <v>3.67</v>
      </c>
      <c r="F34" s="107">
        <v>3.68</v>
      </c>
      <c r="G34" s="107">
        <v>2.84</v>
      </c>
      <c r="H34" s="107">
        <v>3.56</v>
      </c>
      <c r="I34" s="107">
        <v>3.7</v>
      </c>
      <c r="J34" s="107">
        <v>16.940000000000001</v>
      </c>
      <c r="K34" s="107">
        <v>10.19</v>
      </c>
    </row>
    <row r="35" spans="1:11" ht="15" thickBot="1">
      <c r="A35" s="98" t="s">
        <v>140</v>
      </c>
      <c r="B35" s="72">
        <v>5.16</v>
      </c>
      <c r="C35" s="107">
        <v>42.905104568819112</v>
      </c>
      <c r="D35" s="59">
        <v>4.2</v>
      </c>
      <c r="E35" s="107">
        <v>11.3</v>
      </c>
      <c r="F35" s="107">
        <v>17.16</v>
      </c>
      <c r="G35" s="107">
        <v>25.15</v>
      </c>
      <c r="H35" s="107">
        <v>7.99</v>
      </c>
      <c r="I35" s="107">
        <v>12.13</v>
      </c>
      <c r="J35" s="107">
        <v>49.74</v>
      </c>
      <c r="K35" s="107">
        <v>62.84</v>
      </c>
    </row>
    <row r="36" spans="1:11" ht="15" thickBot="1">
      <c r="A36" s="98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ht="15" thickBot="1">
      <c r="A37" s="219" t="s">
        <v>141</v>
      </c>
      <c r="B37" s="220"/>
      <c r="C37" s="220"/>
      <c r="D37" s="220"/>
      <c r="E37" s="220"/>
      <c r="F37" s="220"/>
      <c r="G37" s="220"/>
      <c r="H37" s="220"/>
      <c r="I37" s="220"/>
      <c r="J37" s="221"/>
      <c r="K37" s="100"/>
    </row>
    <row r="38" spans="1:11" ht="29.5" thickBot="1">
      <c r="A38" s="98" t="s">
        <v>195</v>
      </c>
      <c r="B38" s="99"/>
      <c r="C38" s="54">
        <v>512.35</v>
      </c>
      <c r="D38" s="99"/>
      <c r="E38" s="107">
        <v>694.8</v>
      </c>
      <c r="F38" s="99"/>
      <c r="G38" s="107">
        <v>1677.6</v>
      </c>
      <c r="H38" s="99"/>
      <c r="I38" s="107">
        <v>208.7</v>
      </c>
      <c r="J38" s="99"/>
      <c r="K38" s="107">
        <v>2150</v>
      </c>
    </row>
    <row r="39" spans="1:11" ht="15" thickBot="1">
      <c r="A39" s="98" t="s">
        <v>196</v>
      </c>
      <c r="B39" s="109">
        <v>1344.02</v>
      </c>
      <c r="C39" s="107">
        <v>1526.36</v>
      </c>
      <c r="D39" s="107">
        <v>94.84</v>
      </c>
      <c r="E39" s="107">
        <v>101.4</v>
      </c>
      <c r="F39" s="107">
        <v>268.10000000000002</v>
      </c>
      <c r="G39" s="107">
        <v>286.16000000000003</v>
      </c>
      <c r="H39" s="107">
        <v>50.59</v>
      </c>
      <c r="I39" s="107">
        <v>56.44</v>
      </c>
      <c r="J39" s="107">
        <v>95.42</v>
      </c>
      <c r="K39" s="107">
        <v>105.45</v>
      </c>
    </row>
    <row r="40" spans="1:11" ht="29.5" thickBot="1">
      <c r="A40" s="98" t="s">
        <v>142</v>
      </c>
      <c r="B40" s="59">
        <f>'Summary sheet'!X60</f>
        <v>616.84329458018863</v>
      </c>
      <c r="C40" s="107">
        <v>594.09315982735416</v>
      </c>
      <c r="D40" s="59">
        <v>78.489999999999995</v>
      </c>
      <c r="E40" s="107">
        <v>101.4</v>
      </c>
      <c r="F40" s="107">
        <v>268.10000000000002</v>
      </c>
      <c r="G40" s="107">
        <v>286.16000000000003</v>
      </c>
      <c r="H40" s="107">
        <v>50.59</v>
      </c>
      <c r="I40" s="107">
        <v>56.44</v>
      </c>
      <c r="J40" s="107">
        <v>95.42</v>
      </c>
      <c r="K40" s="99"/>
    </row>
    <row r="41" spans="1:11" ht="15" thickBot="1">
      <c r="A41" s="98" t="s">
        <v>143</v>
      </c>
      <c r="B41" s="74">
        <f>'Summary sheet'!Z65</f>
        <v>0.11553525748428438</v>
      </c>
      <c r="C41" s="95">
        <v>3.8113773878950298E-2</v>
      </c>
      <c r="D41" s="56">
        <v>0.10639999999999999</v>
      </c>
      <c r="E41" s="99"/>
      <c r="F41" s="107">
        <v>12.7</v>
      </c>
      <c r="G41" s="99"/>
      <c r="H41" s="106">
        <v>0.23499999999999999</v>
      </c>
      <c r="I41" s="99"/>
      <c r="J41" s="107">
        <v>21.3</v>
      </c>
      <c r="K41" s="99"/>
    </row>
    <row r="42" spans="1:11" ht="15" thickBot="1">
      <c r="A42" s="98" t="s">
        <v>144</v>
      </c>
      <c r="B42" s="70">
        <f>'Summary sheet'!Z66</f>
        <v>1.5876414456822602E-2</v>
      </c>
      <c r="C42" s="95">
        <v>3.0480907582449762E-3</v>
      </c>
      <c r="D42" s="56">
        <v>0.13420000000000001</v>
      </c>
      <c r="E42" s="99"/>
      <c r="F42" s="107">
        <v>17.399999999999999</v>
      </c>
      <c r="G42" s="99"/>
      <c r="H42" s="106">
        <v>0.29759999999999998</v>
      </c>
      <c r="I42" s="99"/>
      <c r="J42" s="107">
        <v>27.5</v>
      </c>
      <c r="K42" s="99"/>
    </row>
    <row r="43" spans="1:11" ht="15" thickBot="1">
      <c r="A43" s="98" t="s">
        <v>197</v>
      </c>
      <c r="B43" s="75">
        <v>54.3</v>
      </c>
      <c r="C43" s="75">
        <v>1.18</v>
      </c>
      <c r="D43" s="61">
        <v>83.28</v>
      </c>
      <c r="E43" s="107">
        <v>1.74</v>
      </c>
      <c r="F43" s="107">
        <v>2.27</v>
      </c>
      <c r="G43" s="107">
        <v>1.46</v>
      </c>
      <c r="H43" s="107">
        <v>0.96</v>
      </c>
      <c r="I43" s="107">
        <v>2.0699999999999998</v>
      </c>
      <c r="J43" s="107">
        <v>2.3199999999999998</v>
      </c>
      <c r="K43" s="107">
        <v>1.26</v>
      </c>
    </row>
    <row r="44" spans="1:11" ht="15" thickBot="1">
      <c r="A44" s="98" t="s">
        <v>145</v>
      </c>
      <c r="B44" s="76">
        <f>'Summary sheet'!Z72</f>
        <v>65.981172034505093</v>
      </c>
      <c r="C44" s="97">
        <v>106.14280054207808</v>
      </c>
      <c r="D44" s="65" t="s">
        <v>171</v>
      </c>
      <c r="E44" s="99"/>
      <c r="F44" s="107">
        <v>43</v>
      </c>
      <c r="G44" s="99"/>
      <c r="H44" s="107">
        <v>16</v>
      </c>
      <c r="I44" s="99"/>
      <c r="J44" s="107">
        <v>29</v>
      </c>
      <c r="K44" s="99"/>
    </row>
    <row r="45" spans="1:11" ht="15" thickBot="1">
      <c r="A45" s="98" t="s">
        <v>52</v>
      </c>
      <c r="B45" s="76">
        <f>'Summary sheet'!X72</f>
        <v>50.747025165297394</v>
      </c>
      <c r="C45" s="97">
        <v>106.14280054207808</v>
      </c>
      <c r="D45" s="65" t="s">
        <v>172</v>
      </c>
      <c r="E45" s="99"/>
      <c r="F45" s="107">
        <v>66</v>
      </c>
      <c r="G45" s="99"/>
      <c r="H45" s="107">
        <v>176</v>
      </c>
      <c r="I45" s="99"/>
      <c r="J45" s="107">
        <v>72</v>
      </c>
      <c r="K45" s="99"/>
    </row>
    <row r="46" spans="1:11" ht="15" thickBot="1">
      <c r="A46" s="98" t="s">
        <v>146</v>
      </c>
      <c r="B46" s="76">
        <f>'Summary sheet'!Z71</f>
        <v>103.44327606233662</v>
      </c>
      <c r="C46" s="97">
        <v>158.70211356031416</v>
      </c>
      <c r="D46" s="65" t="s">
        <v>173</v>
      </c>
      <c r="E46" s="99"/>
      <c r="F46" s="107">
        <v>48</v>
      </c>
      <c r="G46" s="99"/>
      <c r="H46" s="107">
        <v>76</v>
      </c>
      <c r="I46" s="99"/>
      <c r="J46" s="107">
        <v>73</v>
      </c>
      <c r="K46" s="99"/>
    </row>
    <row r="47" spans="1:11" ht="29.5" thickBot="1">
      <c r="A47" s="98" t="s">
        <v>147</v>
      </c>
      <c r="B47" s="77">
        <f>'Summary sheet'!Z73</f>
        <v>81.723459901835923</v>
      </c>
      <c r="C47" s="97">
        <v>132.00538075266132</v>
      </c>
      <c r="D47" s="65" t="s">
        <v>174</v>
      </c>
      <c r="E47" s="99"/>
      <c r="F47" s="107">
        <v>61</v>
      </c>
      <c r="G47" s="99"/>
      <c r="H47" s="107">
        <v>116</v>
      </c>
      <c r="I47" s="99"/>
      <c r="J47" s="107">
        <v>30</v>
      </c>
      <c r="K47" s="99"/>
    </row>
    <row r="48" spans="1:11" ht="29.5" thickBot="1">
      <c r="A48" s="98" t="s">
        <v>148</v>
      </c>
      <c r="B48" s="78">
        <f>'Summary sheet'!Z67</f>
        <v>6.7982058592483935E-2</v>
      </c>
      <c r="C48" s="78">
        <v>1.173595881316393E-2</v>
      </c>
      <c r="D48" s="62">
        <v>0.17</v>
      </c>
      <c r="E48" s="107">
        <v>0.14000000000000001</v>
      </c>
      <c r="F48" s="107">
        <v>0.1</v>
      </c>
      <c r="G48" s="107">
        <v>0.06</v>
      </c>
      <c r="H48" s="107">
        <v>0.01</v>
      </c>
      <c r="I48" s="107">
        <v>0.06</v>
      </c>
      <c r="J48" s="107">
        <v>0</v>
      </c>
      <c r="K48" s="107">
        <v>0.04</v>
      </c>
    </row>
    <row r="49" spans="1:11" ht="29.5" thickBot="1">
      <c r="A49" s="98" t="s">
        <v>149</v>
      </c>
      <c r="B49" s="79" t="s">
        <v>176</v>
      </c>
      <c r="C49" s="79">
        <v>22.736707299720162</v>
      </c>
      <c r="D49" s="66" t="s">
        <v>175</v>
      </c>
      <c r="E49" s="107">
        <v>20.91</v>
      </c>
      <c r="F49" s="107">
        <v>14.91</v>
      </c>
      <c r="G49" s="107">
        <v>18.62</v>
      </c>
      <c r="H49" s="107">
        <v>151</v>
      </c>
      <c r="I49" s="107">
        <v>18.62</v>
      </c>
      <c r="J49" s="107">
        <v>41.69</v>
      </c>
      <c r="K49" s="107">
        <v>51.09</v>
      </c>
    </row>
    <row r="50" spans="1:11" ht="15" thickBot="1">
      <c r="A50" s="98" t="s">
        <v>150</v>
      </c>
      <c r="B50" s="80">
        <f>'Summary sheet'!Z75</f>
        <v>2.6994067459916636E-2</v>
      </c>
      <c r="C50" s="80">
        <v>7.5604788100036568E-2</v>
      </c>
      <c r="D50" s="63">
        <v>0.11803014327358433</v>
      </c>
      <c r="E50" s="106">
        <v>0.04</v>
      </c>
      <c r="F50" s="106">
        <v>8.3000000000000004E-2</v>
      </c>
      <c r="G50" s="106">
        <v>7.0499999999999993E-2</v>
      </c>
      <c r="H50" s="106">
        <v>0.27810000000000001</v>
      </c>
      <c r="I50" s="106">
        <v>0.15</v>
      </c>
      <c r="J50" s="112">
        <v>0.33</v>
      </c>
      <c r="K50" s="106">
        <v>6.9000000000000006E-2</v>
      </c>
    </row>
  </sheetData>
  <mergeCells count="11">
    <mergeCell ref="A1:K1"/>
    <mergeCell ref="B2:C2"/>
    <mergeCell ref="D2:E2"/>
    <mergeCell ref="F2:G2"/>
    <mergeCell ref="H2:I2"/>
    <mergeCell ref="J2:K2"/>
    <mergeCell ref="A4:K4"/>
    <mergeCell ref="A16:K16"/>
    <mergeCell ref="A23:K23"/>
    <mergeCell ref="A31:K31"/>
    <mergeCell ref="A37:J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sheet</vt:lpstr>
      <vt:lpstr>Sheet2</vt:lpstr>
      <vt:lpstr>Sheet4</vt:lpstr>
      <vt:lpstr>Peer Sheet</vt:lpstr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Hp</cp:lastModifiedBy>
  <cp:lastPrinted>2022-06-20T04:41:26Z</cp:lastPrinted>
  <dcterms:created xsi:type="dcterms:W3CDTF">2017-09-19T08:05:47Z</dcterms:created>
  <dcterms:modified xsi:type="dcterms:W3CDTF">2025-08-20T09:33:01Z</dcterms:modified>
</cp:coreProperties>
</file>