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13_ncr:1_{700CF11A-9D37-4AC6-A5B4-8B730D8F4E20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Consol Latest" sheetId="11" r:id="rId1"/>
    <sheet name="Sheet1" sheetId="9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60" i="11" l="1"/>
  <c r="T57" i="11"/>
  <c r="I30" i="11"/>
  <c r="I22" i="11"/>
  <c r="H22" i="11"/>
  <c r="I4" i="11"/>
  <c r="H35" i="11"/>
  <c r="S70" i="11"/>
  <c r="S8" i="11"/>
  <c r="H49" i="11"/>
  <c r="F35" i="11"/>
  <c r="E35" i="11"/>
  <c r="D35" i="11"/>
  <c r="S44" i="11"/>
  <c r="G22" i="11"/>
  <c r="G33" i="11"/>
  <c r="G34" i="11" s="1"/>
  <c r="R70" i="11"/>
  <c r="S36" i="11"/>
  <c r="S20" i="11"/>
  <c r="H4" i="11"/>
  <c r="H6" i="11" s="1"/>
  <c r="H34" i="11" l="1"/>
  <c r="I6" i="11"/>
  <c r="I14" i="11"/>
  <c r="S73" i="11"/>
  <c r="G35" i="11"/>
  <c r="S68" i="11"/>
  <c r="H8" i="11"/>
  <c r="S74" i="11"/>
  <c r="H14" i="11"/>
  <c r="H21" i="11" s="1"/>
  <c r="H57" i="11"/>
  <c r="H58" i="11"/>
  <c r="H48" i="11"/>
  <c r="H50" i="11" s="1"/>
  <c r="R44" i="11"/>
  <c r="S43" i="11"/>
  <c r="S33" i="11"/>
  <c r="S23" i="11"/>
  <c r="S12" i="11"/>
  <c r="S6" i="11"/>
  <c r="H54" i="11"/>
  <c r="H56" i="11" s="1"/>
  <c r="H44" i="11"/>
  <c r="Q50" i="11"/>
  <c r="R50" i="11"/>
  <c r="R43" i="11" s="1"/>
  <c r="M43" i="11"/>
  <c r="Q45" i="11"/>
  <c r="N43" i="11"/>
  <c r="O43" i="11"/>
  <c r="P43" i="11"/>
  <c r="Q38" i="11"/>
  <c r="Q26" i="11"/>
  <c r="Q10" i="11"/>
  <c r="Q8" i="11" s="1"/>
  <c r="F57" i="11" s="1"/>
  <c r="E31" i="11"/>
  <c r="G4" i="11"/>
  <c r="R36" i="11"/>
  <c r="R23" i="11"/>
  <c r="R20" i="11"/>
  <c r="R12" i="11" s="1"/>
  <c r="R8" i="11"/>
  <c r="R6" i="11"/>
  <c r="R7" i="11" s="1"/>
  <c r="G58" i="11"/>
  <c r="G48" i="11"/>
  <c r="G50" i="11" s="1"/>
  <c r="F44" i="11"/>
  <c r="F34" i="11"/>
  <c r="F22" i="11"/>
  <c r="G44" i="11"/>
  <c r="G45" i="11" s="1"/>
  <c r="E22" i="11"/>
  <c r="G54" i="11"/>
  <c r="Q57" i="11"/>
  <c r="Q60" i="11" s="1"/>
  <c r="Q48" i="11"/>
  <c r="Q47" i="11"/>
  <c r="Q46" i="11"/>
  <c r="Q40" i="11"/>
  <c r="Q39" i="11"/>
  <c r="Q36" i="11"/>
  <c r="Q35" i="11"/>
  <c r="Q34" i="11"/>
  <c r="Q30" i="11"/>
  <c r="Q28" i="11"/>
  <c r="Q27" i="11"/>
  <c r="Q25" i="11"/>
  <c r="Q20" i="11"/>
  <c r="Q18" i="11"/>
  <c r="Q17" i="11"/>
  <c r="Q16" i="11"/>
  <c r="Q15" i="11"/>
  <c r="F54" i="11"/>
  <c r="F56" i="11" s="1"/>
  <c r="F29" i="11"/>
  <c r="F19" i="11"/>
  <c r="F18" i="11"/>
  <c r="F13" i="11"/>
  <c r="F12" i="11"/>
  <c r="F11" i="11"/>
  <c r="F10" i="11"/>
  <c r="F9" i="11"/>
  <c r="F5" i="11"/>
  <c r="F4" i="11"/>
  <c r="Q68" i="11" s="1"/>
  <c r="R69" i="11" l="1"/>
  <c r="S72" i="11"/>
  <c r="H59" i="11"/>
  <c r="S62" i="11" s="1"/>
  <c r="H26" i="11"/>
  <c r="H23" i="11"/>
  <c r="H24" i="11"/>
  <c r="I21" i="11"/>
  <c r="I24" i="11" s="1"/>
  <c r="I17" i="11"/>
  <c r="S7" i="11"/>
  <c r="S65" i="11" s="1"/>
  <c r="S58" i="11"/>
  <c r="S61" i="11" s="1"/>
  <c r="S66" i="11"/>
  <c r="G57" i="11"/>
  <c r="R65" i="11"/>
  <c r="R66" i="11"/>
  <c r="G14" i="11"/>
  <c r="R68" i="11"/>
  <c r="R71" i="11" s="1"/>
  <c r="R74" i="11"/>
  <c r="H40" i="11"/>
  <c r="H45" i="11" s="1"/>
  <c r="S75" i="11"/>
  <c r="R33" i="11"/>
  <c r="R53" i="11" s="1"/>
  <c r="S69" i="11"/>
  <c r="S71" i="11" s="1"/>
  <c r="R73" i="11"/>
  <c r="H17" i="11"/>
  <c r="S53" i="11"/>
  <c r="S52" i="11"/>
  <c r="S11" i="11" s="1"/>
  <c r="S64" i="11" s="1"/>
  <c r="R58" i="11"/>
  <c r="R61" i="11" s="1"/>
  <c r="Q44" i="11"/>
  <c r="R52" i="11"/>
  <c r="R11" i="11" s="1"/>
  <c r="S42" i="11"/>
  <c r="Q43" i="11"/>
  <c r="Q70" i="11"/>
  <c r="R42" i="11"/>
  <c r="Q69" i="11"/>
  <c r="Q23" i="11"/>
  <c r="F6" i="11"/>
  <c r="F14" i="11"/>
  <c r="G56" i="11"/>
  <c r="G6" i="11"/>
  <c r="H7" i="11" s="1"/>
  <c r="Q73" i="11"/>
  <c r="Q12" i="11"/>
  <c r="R72" i="11" s="1"/>
  <c r="F58" i="11"/>
  <c r="Q74" i="11"/>
  <c r="C40" i="11"/>
  <c r="E45" i="11"/>
  <c r="F40" i="11" s="1"/>
  <c r="F45" i="11" s="1"/>
  <c r="H30" i="11" l="1"/>
  <c r="H31" i="11" s="1"/>
  <c r="H27" i="11"/>
  <c r="I23" i="11"/>
  <c r="I26" i="11"/>
  <c r="I27" i="11" s="1"/>
  <c r="G15" i="11"/>
  <c r="Q75" i="11"/>
  <c r="G17" i="11"/>
  <c r="R75" i="11"/>
  <c r="G21" i="11"/>
  <c r="R64" i="11"/>
  <c r="H15" i="11"/>
  <c r="G59" i="11"/>
  <c r="R62" i="11" s="1"/>
  <c r="Q52" i="11"/>
  <c r="Q71" i="11"/>
  <c r="F7" i="11"/>
  <c r="G7" i="11"/>
  <c r="F48" i="11"/>
  <c r="F50" i="11" s="1"/>
  <c r="Q33" i="11"/>
  <c r="P12" i="11"/>
  <c r="Q72" i="11" s="1"/>
  <c r="Q7" i="11"/>
  <c r="Q65" i="11" s="1"/>
  <c r="Q6" i="11"/>
  <c r="O69" i="11"/>
  <c r="P69" i="11"/>
  <c r="N69" i="11"/>
  <c r="G24" i="11" l="1"/>
  <c r="G23" i="11"/>
  <c r="G26" i="11"/>
  <c r="R57" i="11"/>
  <c r="R60" i="11" s="1"/>
  <c r="Q11" i="11"/>
  <c r="Q64" i="11" s="1"/>
  <c r="Q53" i="11"/>
  <c r="Q58" i="11"/>
  <c r="Q61" i="11" s="1"/>
  <c r="Q66" i="11"/>
  <c r="Q42" i="11"/>
  <c r="F59" i="11"/>
  <c r="Q62" i="11" s="1"/>
  <c r="O70" i="11"/>
  <c r="P70" i="11"/>
  <c r="S63" i="11" l="1"/>
  <c r="G27" i="11"/>
  <c r="G30" i="11"/>
  <c r="G31" i="11" s="1"/>
  <c r="R63" i="11"/>
  <c r="F21" i="11"/>
  <c r="N70" i="11"/>
  <c r="M70" i="11"/>
  <c r="P57" i="11"/>
  <c r="P60" i="11" s="1"/>
  <c r="O57" i="11"/>
  <c r="O60" i="11" s="1"/>
  <c r="N57" i="11"/>
  <c r="M57" i="11"/>
  <c r="P44" i="11"/>
  <c r="O44" i="11"/>
  <c r="N44" i="11"/>
  <c r="M44" i="11"/>
  <c r="P33" i="11"/>
  <c r="O33" i="11"/>
  <c r="N33" i="11"/>
  <c r="M33" i="11"/>
  <c r="N28" i="11"/>
  <c r="N23" i="11" s="1"/>
  <c r="P23" i="11"/>
  <c r="O23" i="11"/>
  <c r="M23" i="11"/>
  <c r="O12" i="11"/>
  <c r="N12" i="11"/>
  <c r="M12" i="11"/>
  <c r="P10" i="11"/>
  <c r="O10" i="11"/>
  <c r="N10" i="11"/>
  <c r="M10" i="11"/>
  <c r="P9" i="11"/>
  <c r="O9" i="11"/>
  <c r="N9" i="11"/>
  <c r="M9" i="11"/>
  <c r="P7" i="11"/>
  <c r="O7" i="11"/>
  <c r="N7" i="11"/>
  <c r="M7" i="11"/>
  <c r="P6" i="11"/>
  <c r="O6" i="11"/>
  <c r="N6" i="11"/>
  <c r="M6" i="11"/>
  <c r="S57" i="11" l="1"/>
  <c r="S60" i="11" s="1"/>
  <c r="O8" i="11"/>
  <c r="O65" i="11" s="1"/>
  <c r="F24" i="11"/>
  <c r="F23" i="11"/>
  <c r="P8" i="11"/>
  <c r="P73" i="11" s="1"/>
  <c r="M8" i="11"/>
  <c r="B57" i="11" s="1"/>
  <c r="N8" i="11"/>
  <c r="P42" i="11"/>
  <c r="P52" i="11"/>
  <c r="O53" i="11"/>
  <c r="P53" i="11"/>
  <c r="M52" i="11"/>
  <c r="M53" i="11"/>
  <c r="O52" i="11"/>
  <c r="N53" i="11"/>
  <c r="N52" i="11"/>
  <c r="N42" i="11"/>
  <c r="M42" i="11"/>
  <c r="O42" i="11"/>
  <c r="O66" i="11" l="1"/>
  <c r="D57" i="11"/>
  <c r="O73" i="11"/>
  <c r="P65" i="11"/>
  <c r="M73" i="11"/>
  <c r="M66" i="11"/>
  <c r="E57" i="11"/>
  <c r="P66" i="11"/>
  <c r="M65" i="11"/>
  <c r="C57" i="11"/>
  <c r="N73" i="11"/>
  <c r="N66" i="11"/>
  <c r="N65" i="11"/>
  <c r="O11" i="11"/>
  <c r="P11" i="11"/>
  <c r="N11" i="11"/>
  <c r="M11" i="11"/>
  <c r="C4" i="11" l="1"/>
  <c r="C22" i="11"/>
  <c r="N68" i="11" l="1"/>
  <c r="N71" i="11" s="1"/>
  <c r="C14" i="11"/>
  <c r="N74" i="11"/>
  <c r="D4" i="11"/>
  <c r="B4" i="11"/>
  <c r="D24" i="11"/>
  <c r="D26" i="11" s="1"/>
  <c r="O63" i="11" s="1"/>
  <c r="B26" i="11"/>
  <c r="M63" i="11" s="1"/>
  <c r="E4" i="11"/>
  <c r="F16" i="11" l="1"/>
  <c r="N75" i="11"/>
  <c r="E14" i="11"/>
  <c r="P72" i="11"/>
  <c r="D14" i="11"/>
  <c r="O64" i="11" s="1"/>
  <c r="O72" i="11"/>
  <c r="O74" i="11"/>
  <c r="E16" i="11"/>
  <c r="N64" i="11"/>
  <c r="P68" i="11"/>
  <c r="P71" i="11" s="1"/>
  <c r="P74" i="11"/>
  <c r="O68" i="11"/>
  <c r="O71" i="11" s="1"/>
  <c r="M68" i="11"/>
  <c r="M71" i="11" s="1"/>
  <c r="B14" i="11"/>
  <c r="M75" i="11" s="1"/>
  <c r="M74" i="11"/>
  <c r="C34" i="11"/>
  <c r="D34" i="11"/>
  <c r="E34" i="11"/>
  <c r="D54" i="11"/>
  <c r="E54" i="11"/>
  <c r="C54" i="11"/>
  <c r="B54" i="11"/>
  <c r="D27" i="11"/>
  <c r="B27" i="11"/>
  <c r="O75" i="11" l="1"/>
  <c r="G16" i="11"/>
  <c r="P75" i="11"/>
  <c r="H16" i="11"/>
  <c r="E21" i="11"/>
  <c r="E24" i="11" s="1"/>
  <c r="E26" i="11" s="1"/>
  <c r="P63" i="11" s="1"/>
  <c r="F15" i="11"/>
  <c r="M64" i="11"/>
  <c r="E56" i="11"/>
  <c r="P58" i="11"/>
  <c r="P61" i="11" s="1"/>
  <c r="B56" i="11"/>
  <c r="M58" i="11"/>
  <c r="M61" i="11" s="1"/>
  <c r="C56" i="11"/>
  <c r="N58" i="11"/>
  <c r="N61" i="11" s="1"/>
  <c r="O58" i="11"/>
  <c r="O61" i="11" s="1"/>
  <c r="D56" i="11"/>
  <c r="P64" i="11"/>
  <c r="F26" i="11" l="1"/>
  <c r="C44" i="11"/>
  <c r="C45" i="11" s="1"/>
  <c r="B44" i="11"/>
  <c r="C6" i="11"/>
  <c r="F8" i="11" s="1"/>
  <c r="B6" i="11"/>
  <c r="D6" i="11"/>
  <c r="G8" i="11" s="1"/>
  <c r="B48" i="11"/>
  <c r="B50" i="11" s="1"/>
  <c r="F27" i="11" l="1"/>
  <c r="Q63" i="11"/>
  <c r="C21" i="11"/>
  <c r="C24" i="11" s="1"/>
  <c r="C26" i="11" s="1"/>
  <c r="N63" i="11" s="1"/>
  <c r="F30" i="11"/>
  <c r="D40" i="11"/>
  <c r="D45" i="11" s="1"/>
  <c r="B21" i="11"/>
  <c r="B59" i="11"/>
  <c r="M62" i="11" s="1"/>
  <c r="F17" i="11"/>
  <c r="E17" i="11"/>
  <c r="F31" i="11" l="1"/>
  <c r="E40" i="11"/>
  <c r="C27" i="11"/>
  <c r="B17" i="11"/>
  <c r="B23" i="11"/>
  <c r="E23" i="11"/>
  <c r="C48" i="11"/>
  <c r="C50" i="11" s="1"/>
  <c r="D48" i="11"/>
  <c r="D50" i="11" s="1"/>
  <c r="E48" i="11"/>
  <c r="E50" i="11" s="1"/>
  <c r="E27" i="11" l="1"/>
  <c r="E59" i="11" l="1"/>
  <c r="P62" i="11" s="1"/>
  <c r="E7" i="11" l="1"/>
  <c r="E8" i="11"/>
  <c r="C59" i="11"/>
  <c r="N62" i="11" s="1"/>
  <c r="C7" i="11"/>
  <c r="D59" i="11"/>
  <c r="O62" i="11" s="1"/>
  <c r="D8" i="11"/>
  <c r="D7" i="11"/>
  <c r="E15" i="11"/>
  <c r="D17" i="11" l="1"/>
  <c r="D16" i="11"/>
  <c r="D23" i="11" l="1"/>
  <c r="F39" i="9" l="1"/>
  <c r="E39" i="9"/>
  <c r="D39" i="9"/>
  <c r="C39" i="9"/>
  <c r="F20" i="9"/>
  <c r="E20" i="9"/>
  <c r="D20" i="9"/>
  <c r="C20" i="9"/>
  <c r="F19" i="9"/>
  <c r="E19" i="9"/>
  <c r="D19" i="9"/>
  <c r="C19" i="9"/>
  <c r="F17" i="9"/>
  <c r="E17" i="9"/>
  <c r="D17" i="9"/>
  <c r="C17" i="9"/>
  <c r="F13" i="9"/>
  <c r="E13" i="9"/>
  <c r="D13" i="9"/>
  <c r="C13" i="9"/>
  <c r="B13" i="9"/>
  <c r="F10" i="9"/>
  <c r="E10" i="9"/>
  <c r="D10" i="9"/>
  <c r="C10" i="9"/>
  <c r="F7" i="9"/>
  <c r="E7" i="9"/>
  <c r="D7" i="9"/>
  <c r="C7" i="9"/>
  <c r="F5" i="9"/>
  <c r="E5" i="9"/>
  <c r="D5" i="9"/>
  <c r="C5" i="9"/>
  <c r="C12" i="9" l="1"/>
  <c r="D9" i="9"/>
  <c r="D12" i="9"/>
  <c r="E9" i="9"/>
  <c r="E12" i="9"/>
  <c r="C9" i="9"/>
  <c r="F9" i="9"/>
  <c r="F12" i="9"/>
  <c r="B5" i="9" l="1"/>
  <c r="F43" i="9"/>
  <c r="D43" i="9"/>
  <c r="E45" i="9"/>
  <c r="C45" i="9"/>
  <c r="F44" i="9"/>
  <c r="D44" i="9"/>
  <c r="B33" i="9"/>
  <c r="B32" i="9"/>
  <c r="B27" i="9"/>
  <c r="C42" i="9"/>
  <c r="F46" i="9"/>
  <c r="D46" i="9"/>
  <c r="B18" i="9"/>
  <c r="E52" i="9" l="1"/>
  <c r="D42" i="9"/>
  <c r="C52" i="9"/>
  <c r="E43" i="9"/>
  <c r="E51" i="9"/>
  <c r="C47" i="9"/>
  <c r="C46" i="9"/>
  <c r="E48" i="9"/>
  <c r="E11" i="9"/>
  <c r="D27" i="9"/>
  <c r="C32" i="9"/>
  <c r="C40" i="9"/>
  <c r="C41" i="9"/>
  <c r="F33" i="9"/>
  <c r="E44" i="9"/>
  <c r="F51" i="9"/>
  <c r="F6" i="9"/>
  <c r="D45" i="9"/>
  <c r="C43" i="9"/>
  <c r="C51" i="9"/>
  <c r="C6" i="9"/>
  <c r="E18" i="9"/>
  <c r="D8" i="9"/>
  <c r="E8" i="9"/>
  <c r="D48" i="9"/>
  <c r="D11" i="9"/>
  <c r="C27" i="9"/>
  <c r="F32" i="9"/>
  <c r="F40" i="9"/>
  <c r="F41" i="9"/>
  <c r="E33" i="9"/>
  <c r="F18" i="9"/>
  <c r="D6" i="9"/>
  <c r="C18" i="9"/>
  <c r="E42" i="9"/>
  <c r="F8" i="9"/>
  <c r="F48" i="9"/>
  <c r="F11" i="9"/>
  <c r="E27" i="9"/>
  <c r="D32" i="9"/>
  <c r="D40" i="9"/>
  <c r="D41" i="9"/>
  <c r="F42" i="9"/>
  <c r="C33" i="9"/>
  <c r="E6" i="9"/>
  <c r="D18" i="9"/>
  <c r="C8" i="9"/>
  <c r="C48" i="9"/>
  <c r="C11" i="9"/>
  <c r="F27" i="9"/>
  <c r="E32" i="9"/>
  <c r="E40" i="9"/>
  <c r="E41" i="9"/>
  <c r="C49" i="9"/>
  <c r="D33" i="9"/>
  <c r="C44" i="9"/>
  <c r="E47" i="9"/>
  <c r="E46" i="9"/>
  <c r="D51" i="9"/>
  <c r="B6" i="9"/>
  <c r="B44" i="9"/>
  <c r="B45" i="9"/>
  <c r="B20" i="9"/>
  <c r="B19" i="9"/>
  <c r="D47" i="9"/>
  <c r="F28" i="9" l="1"/>
  <c r="D52" i="9"/>
  <c r="F47" i="9"/>
  <c r="F45" i="9"/>
  <c r="C28" i="9"/>
  <c r="D49" i="9"/>
  <c r="C50" i="9"/>
  <c r="E49" i="9"/>
  <c r="F34" i="9"/>
  <c r="E50" i="9"/>
  <c r="C34" i="9"/>
  <c r="F49" i="9"/>
  <c r="E28" i="9"/>
  <c r="F50" i="9"/>
  <c r="D28" i="9"/>
  <c r="D50" i="9"/>
  <c r="E34" i="9"/>
  <c r="D34" i="9"/>
  <c r="F52" i="9"/>
  <c r="B47" i="9"/>
  <c r="B43" i="9"/>
  <c r="B46" i="9"/>
  <c r="B52" i="9"/>
  <c r="D35" i="9" l="1"/>
  <c r="C35" i="9"/>
  <c r="E35" i="9"/>
  <c r="F35" i="9"/>
  <c r="B28" i="9" l="1"/>
  <c r="B48" i="9" l="1"/>
  <c r="B39" i="9" l="1"/>
  <c r="B17" i="9"/>
  <c r="B7" i="9"/>
  <c r="B9" i="9" s="1"/>
  <c r="B50" i="9" l="1"/>
  <c r="B49" i="9"/>
  <c r="B40" i="9"/>
  <c r="B8" i="9" l="1"/>
  <c r="B35" i="9"/>
  <c r="B34" i="9"/>
  <c r="B10" i="9"/>
  <c r="B12" i="9" s="1"/>
  <c r="B42" i="9" l="1"/>
  <c r="B51" i="9"/>
  <c r="B41" i="9" l="1"/>
  <c r="B11" i="9"/>
  <c r="C23" i="11" l="1"/>
  <c r="D15" i="11" l="1"/>
  <c r="C17" i="11"/>
  <c r="C15" i="11"/>
</calcChain>
</file>

<file path=xl/sharedStrings.xml><?xml version="1.0" encoding="utf-8"?>
<sst xmlns="http://schemas.openxmlformats.org/spreadsheetml/2006/main" count="283" uniqueCount="166">
  <si>
    <t>Growth (%)</t>
  </si>
  <si>
    <t>EBITDA</t>
  </si>
  <si>
    <t>EBITDA margin (%)</t>
  </si>
  <si>
    <t>Other Income</t>
  </si>
  <si>
    <t>Depreciation</t>
  </si>
  <si>
    <t>Interest</t>
  </si>
  <si>
    <t>Tax</t>
  </si>
  <si>
    <t>Effective tax rate (%)</t>
  </si>
  <si>
    <t>PAT</t>
  </si>
  <si>
    <t>Minority Interest</t>
  </si>
  <si>
    <t>EPS</t>
  </si>
  <si>
    <t>Cash Flow</t>
  </si>
  <si>
    <t>Cash and Cash Equivalents at Beginning of the year</t>
  </si>
  <si>
    <t>Net Inc./(Dec.) in Cash and Cash Equivalent</t>
  </si>
  <si>
    <t>Our Calculations</t>
  </si>
  <si>
    <t>Capital Expenditure</t>
  </si>
  <si>
    <t>FCF</t>
  </si>
  <si>
    <t>Inventories</t>
  </si>
  <si>
    <t>EPS (Rs)</t>
  </si>
  <si>
    <t>BVPS (Rs)</t>
  </si>
  <si>
    <t>DPS (Rs)</t>
  </si>
  <si>
    <t>P/E (x)</t>
  </si>
  <si>
    <t>P/BV (x)</t>
  </si>
  <si>
    <t>EV/EBIDTA (x)</t>
  </si>
  <si>
    <t>RoE (%)</t>
  </si>
  <si>
    <t>RoCE (%)</t>
  </si>
  <si>
    <t>Gross D/E(x)</t>
  </si>
  <si>
    <t>Net D/E (x)</t>
  </si>
  <si>
    <t>Dividend Yield</t>
  </si>
  <si>
    <t>Debtor Days</t>
  </si>
  <si>
    <t>Creditor Days</t>
  </si>
  <si>
    <t>Inventory Days</t>
  </si>
  <si>
    <t>Working Capital Days</t>
  </si>
  <si>
    <t>Employee Benefit Expense</t>
  </si>
  <si>
    <t>Other Expenses</t>
  </si>
  <si>
    <t>Cash and Cash Equivalents at End of the year</t>
  </si>
  <si>
    <t>Market Cap</t>
  </si>
  <si>
    <t>Cash</t>
  </si>
  <si>
    <t>EV</t>
  </si>
  <si>
    <t>Total Debt</t>
  </si>
  <si>
    <t>PAT margin (%)</t>
  </si>
  <si>
    <t>Cash Conversion cycle</t>
  </si>
  <si>
    <t>Interest Cost</t>
  </si>
  <si>
    <t>TOTAL ASSETS</t>
  </si>
  <si>
    <t>Income Statement</t>
  </si>
  <si>
    <t>Purchase of stock in trade</t>
  </si>
  <si>
    <t>Change in Inventory and finished good</t>
  </si>
  <si>
    <t>Capital Work in Progress</t>
  </si>
  <si>
    <t>FY19</t>
  </si>
  <si>
    <t xml:space="preserve">Captain Polyplast </t>
  </si>
  <si>
    <t xml:space="preserve">Jain Irrigation </t>
  </si>
  <si>
    <t>EPC Industri</t>
  </si>
  <si>
    <t>Kriti Industries</t>
  </si>
  <si>
    <t>Texmo Pipes</t>
  </si>
  <si>
    <t>Net Sales</t>
  </si>
  <si>
    <t>3 Years CAGR (%)</t>
  </si>
  <si>
    <t>EBITDA Margin (%)</t>
  </si>
  <si>
    <t>PAT Margin (%)</t>
  </si>
  <si>
    <t>Balance Sheet Comparision</t>
  </si>
  <si>
    <t>Total Networth</t>
  </si>
  <si>
    <t>Long Term</t>
  </si>
  <si>
    <t>Short Term</t>
  </si>
  <si>
    <t>CFO</t>
  </si>
  <si>
    <t>Enterprise Value(Mn)</t>
  </si>
  <si>
    <t>VALUATIONS COMPARISION</t>
  </si>
  <si>
    <t>Stock P:E</t>
  </si>
  <si>
    <t>Price:Book Value</t>
  </si>
  <si>
    <t>EV/ EBITDA</t>
  </si>
  <si>
    <t>OPERATIONAL RATIOS COMPARISION</t>
  </si>
  <si>
    <t>CMP (As on 31st March 2019)</t>
  </si>
  <si>
    <t>Book Value (Rs.)</t>
  </si>
  <si>
    <t>Book Value per Share</t>
  </si>
  <si>
    <t>ROE</t>
  </si>
  <si>
    <t>ROCE</t>
  </si>
  <si>
    <t>Fixed Asset Turnover</t>
  </si>
  <si>
    <t>Receivable days</t>
  </si>
  <si>
    <t>Payable days</t>
  </si>
  <si>
    <t>Cash Conversion Cycle</t>
  </si>
  <si>
    <t>Gross Debt/Equity</t>
  </si>
  <si>
    <t>Net Debt/Equity</t>
  </si>
  <si>
    <t>Interest Coverage Ratio</t>
  </si>
  <si>
    <t>Interest Cost (%)</t>
  </si>
  <si>
    <t>P&amp;L Comparision (As on FY19)</t>
  </si>
  <si>
    <t>Peer Comparison Analysis - Captain Polyplast  Ltd.</t>
  </si>
  <si>
    <t>FY20</t>
  </si>
  <si>
    <t>FY21</t>
  </si>
  <si>
    <t>CAGR (%) - 3 Years</t>
  </si>
  <si>
    <t>NA</t>
  </si>
  <si>
    <t>Property, Plant and Equipments</t>
  </si>
  <si>
    <t>-</t>
  </si>
  <si>
    <t>Other Non-Current Assets</t>
  </si>
  <si>
    <t xml:space="preserve"> Trade Receivables</t>
  </si>
  <si>
    <t>Cash and Cash Equivalents</t>
  </si>
  <si>
    <t>Other Financial Assets</t>
  </si>
  <si>
    <t>Provisions</t>
  </si>
  <si>
    <t>Other Current Liabilities</t>
  </si>
  <si>
    <t>Operating CFO</t>
  </si>
  <si>
    <t>FY22</t>
  </si>
  <si>
    <t>Income Statement (INR Mn)</t>
  </si>
  <si>
    <t>PAT from continuing operations</t>
  </si>
  <si>
    <t>PAT from Discountiued operations</t>
  </si>
  <si>
    <t>EPS from continuing and discontinued operations</t>
  </si>
  <si>
    <t>EPS from continuing operations</t>
  </si>
  <si>
    <t>Goodwill</t>
  </si>
  <si>
    <t>Other intangible Assets</t>
  </si>
  <si>
    <t>Deferred Tax Assets (Net)</t>
  </si>
  <si>
    <t>Total Non-Current Assets</t>
  </si>
  <si>
    <t xml:space="preserve">Financial Liabilities </t>
  </si>
  <si>
    <t xml:space="preserve">Total Current Liabilities </t>
  </si>
  <si>
    <t>TOTAL EQUITY &amp; LIABILITIES</t>
  </si>
  <si>
    <t xml:space="preserve">Deffered Tax liabilities </t>
  </si>
  <si>
    <t xml:space="preserve">Other Current Assets </t>
  </si>
  <si>
    <t>Total Equity</t>
  </si>
  <si>
    <t>Investments</t>
  </si>
  <si>
    <t>Total Current Assets</t>
  </si>
  <si>
    <t>Total Income</t>
  </si>
  <si>
    <t>Operating revenue</t>
  </si>
  <si>
    <t>Exceptional Item</t>
  </si>
  <si>
    <t>PAT for the year</t>
  </si>
  <si>
    <t xml:space="preserve">Other comprehensive Income after tax </t>
  </si>
  <si>
    <t>Right of use</t>
  </si>
  <si>
    <t xml:space="preserve">Intangible Assets under Development </t>
  </si>
  <si>
    <t xml:space="preserve">Borrowings </t>
  </si>
  <si>
    <t xml:space="preserve">Trade Payables </t>
  </si>
  <si>
    <t>Current Tax Liabilities (Net)</t>
  </si>
  <si>
    <t>Net Cash From Operating Activities</t>
  </si>
  <si>
    <t>Net Cash from Investing Activities</t>
  </si>
  <si>
    <t>Net Cash from Financing Activities</t>
  </si>
  <si>
    <t>Net worth</t>
  </si>
  <si>
    <t>Balancesheet (INR. Mn)</t>
  </si>
  <si>
    <t>Y/E, Mar (INR. Mn)</t>
  </si>
  <si>
    <t>No. of Shares (INR. Mn)</t>
  </si>
  <si>
    <t>CMP(INR)</t>
  </si>
  <si>
    <t xml:space="preserve">Other Non-current liabilities </t>
  </si>
  <si>
    <t>Lease liabilities</t>
  </si>
  <si>
    <t>Other financial liabilities</t>
  </si>
  <si>
    <t xml:space="preserve">Total Non-Current Liabilities </t>
  </si>
  <si>
    <t>FV per share</t>
  </si>
  <si>
    <t>Bank Balance other than Cash and Cash Equivalents</t>
  </si>
  <si>
    <t>Net Current Assets</t>
  </si>
  <si>
    <t xml:space="preserve">PBT </t>
  </si>
  <si>
    <t xml:space="preserve">Total comprehensive Income </t>
  </si>
  <si>
    <t>Share Capital</t>
  </si>
  <si>
    <t>Other Equity</t>
  </si>
  <si>
    <t>Total Fund</t>
  </si>
  <si>
    <t xml:space="preserve"> Long-term Debt</t>
  </si>
  <si>
    <t>Short term debt</t>
  </si>
  <si>
    <t xml:space="preserve">Total Capital Employed (Assets) </t>
  </si>
  <si>
    <t>Investment Property</t>
  </si>
  <si>
    <t xml:space="preserve"> -</t>
  </si>
  <si>
    <t>Non-current assets held for sale</t>
  </si>
  <si>
    <t>Assets Pertaining to disposal group</t>
  </si>
  <si>
    <t>Liabilities directly associated with Disposal group</t>
  </si>
  <si>
    <t>Borrowings</t>
  </si>
  <si>
    <t>Others</t>
  </si>
  <si>
    <t>Interest coverage Ratio</t>
  </si>
  <si>
    <t xml:space="preserve"> FY23</t>
  </si>
  <si>
    <t>FY23</t>
  </si>
  <si>
    <t>Liabilities in relation to Non-Current Assets held for Sale</t>
  </si>
  <si>
    <t>Cost of material consumed</t>
  </si>
  <si>
    <t>Pricol Summary Sheet</t>
  </si>
  <si>
    <t>Fixed Assets Turnover Ratio</t>
  </si>
  <si>
    <t>FY24</t>
  </si>
  <si>
    <t>TTM</t>
  </si>
  <si>
    <t>FY25</t>
  </si>
  <si>
    <t>Q1-FY26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</si>
</sst>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 * #,##0.00_ ;_ * \-#,##0.00_ ;_ * &quot;-&quot;??_ ;_ @_ "/>
    <numFmt numFmtId="164" formatCode="0.0"/>
    <numFmt numFmtId="165" formatCode="0.0%"/>
    <numFmt numFmtId="166" formatCode="_ * #,##0.0_ ;_ * \-#,##0.0_ ;_ * &quot;-&quot;??_ ;_ @_ "/>
    <numFmt numFmtId="167" formatCode="_ * #,##0.000_ ;_ * \-#,##0.000_ ;_ * &quot;-&quot;??_ ;_ @_ "/>
    <numFmt numFmtId="168" formatCode="_ * #,##0.0000_ ;_ * \-#,##0.0000_ ;_ * &quot;-&quot;??_ ;_ @_ "/>
    <numFmt numFmtId="169" formatCode="0.000"/>
  </numFmts>
  <fonts count="2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theme="1"/>
      <name val="Arial"/>
      <family val="2"/>
    </font>
    <font>
      <sz val="9"/>
      <color rgb="FFFF000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u/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rgb="FFFF0000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i/>
      <sz val="12"/>
      <name val="Calibri"/>
      <family val="2"/>
      <scheme val="minor"/>
    </font>
    <font>
      <b/>
      <i/>
      <sz val="12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5F5F5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theme="0"/>
        <bgColor rgb="FF000000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167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0" xfId="0" applyFont="1"/>
    <xf numFmtId="0" fontId="7" fillId="0" borderId="0" xfId="0" applyFont="1"/>
    <xf numFmtId="0" fontId="8" fillId="0" borderId="0" xfId="0" applyFont="1"/>
    <xf numFmtId="167" fontId="3" fillId="0" borderId="0" xfId="0" applyNumberFormat="1" applyFont="1"/>
    <xf numFmtId="0" fontId="0" fillId="0" borderId="1" xfId="0" applyBorder="1"/>
    <xf numFmtId="2" fontId="0" fillId="0" borderId="1" xfId="0" applyNumberFormat="1" applyBorder="1"/>
    <xf numFmtId="0" fontId="10" fillId="6" borderId="8" xfId="0" applyFont="1" applyFill="1" applyBorder="1" applyAlignment="1">
      <alignment horizontal="center" wrapText="1"/>
    </xf>
    <xf numFmtId="0" fontId="9" fillId="4" borderId="8" xfId="0" applyFont="1" applyFill="1" applyBorder="1"/>
    <xf numFmtId="0" fontId="0" fillId="4" borderId="1" xfId="0" applyFill="1" applyBorder="1"/>
    <xf numFmtId="0" fontId="0" fillId="4" borderId="2" xfId="0" applyFill="1" applyBorder="1"/>
    <xf numFmtId="0" fontId="0" fillId="4" borderId="11" xfId="0" applyFill="1" applyBorder="1"/>
    <xf numFmtId="0" fontId="0" fillId="4" borderId="8" xfId="0" applyFill="1" applyBorder="1"/>
    <xf numFmtId="2" fontId="0" fillId="4" borderId="1" xfId="0" applyNumberFormat="1" applyFill="1" applyBorder="1"/>
    <xf numFmtId="2" fontId="9" fillId="4" borderId="1" xfId="0" applyNumberFormat="1" applyFont="1" applyFill="1" applyBorder="1"/>
    <xf numFmtId="10" fontId="9" fillId="0" borderId="1" xfId="1" applyNumberFormat="1" applyFont="1" applyFill="1" applyBorder="1"/>
    <xf numFmtId="10" fontId="9" fillId="0" borderId="1" xfId="1" applyNumberFormat="1" applyFont="1" applyFill="1" applyBorder="1" applyAlignment="1">
      <alignment horizontal="right"/>
    </xf>
    <xf numFmtId="0" fontId="0" fillId="4" borderId="12" xfId="0" applyFill="1" applyBorder="1"/>
    <xf numFmtId="0" fontId="0" fillId="4" borderId="0" xfId="0" applyFill="1"/>
    <xf numFmtId="0" fontId="0" fillId="4" borderId="13" xfId="0" applyFill="1" applyBorder="1"/>
    <xf numFmtId="0" fontId="0" fillId="4" borderId="8" xfId="0" applyFill="1" applyBorder="1" applyAlignment="1">
      <alignment horizontal="right"/>
    </xf>
    <xf numFmtId="2" fontId="9" fillId="0" borderId="1" xfId="0" applyNumberFormat="1" applyFont="1" applyBorder="1"/>
    <xf numFmtId="0" fontId="0" fillId="4" borderId="17" xfId="0" applyFill="1" applyBorder="1"/>
    <xf numFmtId="0" fontId="9" fillId="0" borderId="1" xfId="0" applyFont="1" applyBorder="1"/>
    <xf numFmtId="10" fontId="0" fillId="0" borderId="1" xfId="1" applyNumberFormat="1" applyFont="1" applyFill="1" applyBorder="1"/>
    <xf numFmtId="4" fontId="9" fillId="0" borderId="1" xfId="0" applyNumberFormat="1" applyFont="1" applyBorder="1"/>
    <xf numFmtId="164" fontId="0" fillId="0" borderId="1" xfId="0" applyNumberFormat="1" applyBorder="1"/>
    <xf numFmtId="10" fontId="0" fillId="0" borderId="1" xfId="0" applyNumberFormat="1" applyBorder="1"/>
    <xf numFmtId="2" fontId="0" fillId="0" borderId="1" xfId="1" applyNumberFormat="1" applyFont="1" applyFill="1" applyBorder="1"/>
    <xf numFmtId="1" fontId="4" fillId="0" borderId="1" xfId="2" applyNumberFormat="1" applyFont="1" applyFill="1" applyBorder="1" applyAlignment="1">
      <alignment horizontal="right"/>
    </xf>
    <xf numFmtId="1" fontId="0" fillId="0" borderId="1" xfId="2" applyNumberFormat="1" applyFont="1" applyFill="1" applyBorder="1" applyAlignment="1">
      <alignment horizontal="right"/>
    </xf>
    <xf numFmtId="1" fontId="0" fillId="0" borderId="1" xfId="2" applyNumberFormat="1" applyFont="1" applyFill="1" applyBorder="1"/>
    <xf numFmtId="2" fontId="0" fillId="0" borderId="1" xfId="2" applyNumberFormat="1" applyFont="1" applyFill="1" applyBorder="1"/>
    <xf numFmtId="10" fontId="0" fillId="0" borderId="18" xfId="1" applyNumberFormat="1" applyFont="1" applyFill="1" applyBorder="1"/>
    <xf numFmtId="0" fontId="6" fillId="0" borderId="0" xfId="0" applyFont="1" applyAlignment="1">
      <alignment horizontal="center"/>
    </xf>
    <xf numFmtId="0" fontId="8" fillId="0" borderId="0" xfId="0" applyFont="1" applyAlignment="1">
      <alignment horizontal="right"/>
    </xf>
    <xf numFmtId="166" fontId="13" fillId="3" borderId="1" xfId="2" applyNumberFormat="1" applyFont="1" applyFill="1" applyBorder="1" applyAlignment="1">
      <alignment horizontal="right"/>
    </xf>
    <xf numFmtId="166" fontId="17" fillId="0" borderId="1" xfId="2" applyNumberFormat="1" applyFont="1" applyFill="1" applyBorder="1" applyAlignment="1">
      <alignment horizontal="right"/>
    </xf>
    <xf numFmtId="166" fontId="14" fillId="3" borderId="1" xfId="2" applyNumberFormat="1" applyFont="1" applyFill="1" applyBorder="1" applyAlignment="1">
      <alignment horizontal="right"/>
    </xf>
    <xf numFmtId="0" fontId="13" fillId="0" borderId="1" xfId="0" applyFont="1" applyBorder="1"/>
    <xf numFmtId="0" fontId="14" fillId="0" borderId="1" xfId="0" applyFont="1" applyBorder="1" applyAlignment="1">
      <alignment horizontal="center"/>
    </xf>
    <xf numFmtId="0" fontId="13" fillId="0" borderId="1" xfId="0" applyFont="1" applyBorder="1" applyAlignment="1">
      <alignment horizontal="right"/>
    </xf>
    <xf numFmtId="0" fontId="15" fillId="0" borderId="1" xfId="0" applyFont="1" applyBorder="1"/>
    <xf numFmtId="0" fontId="13" fillId="3" borderId="1" xfId="0" applyFont="1" applyFill="1" applyBorder="1"/>
    <xf numFmtId="166" fontId="13" fillId="3" borderId="1" xfId="2" applyNumberFormat="1" applyFont="1" applyFill="1" applyBorder="1"/>
    <xf numFmtId="0" fontId="16" fillId="3" borderId="1" xfId="0" applyFont="1" applyFill="1" applyBorder="1"/>
    <xf numFmtId="166" fontId="17" fillId="0" borderId="1" xfId="2" applyNumberFormat="1" applyFont="1" applyFill="1" applyBorder="1" applyAlignment="1"/>
    <xf numFmtId="166" fontId="14" fillId="3" borderId="1" xfId="2" applyNumberFormat="1" applyFont="1" applyFill="1" applyBorder="1"/>
    <xf numFmtId="0" fontId="18" fillId="3" borderId="1" xfId="0" applyFont="1" applyFill="1" applyBorder="1"/>
    <xf numFmtId="0" fontId="13" fillId="0" borderId="1" xfId="0" applyFont="1" applyBorder="1" applyAlignment="1">
      <alignment wrapText="1"/>
    </xf>
    <xf numFmtId="0" fontId="15" fillId="3" borderId="1" xfId="0" applyFont="1" applyFill="1" applyBorder="1"/>
    <xf numFmtId="166" fontId="13" fillId="0" borderId="1" xfId="2" applyNumberFormat="1" applyFont="1" applyFill="1" applyBorder="1" applyAlignment="1">
      <alignment horizontal="right"/>
    </xf>
    <xf numFmtId="166" fontId="13" fillId="0" borderId="1" xfId="2" applyNumberFormat="1" applyFont="1" applyBorder="1" applyAlignment="1">
      <alignment horizontal="right"/>
    </xf>
    <xf numFmtId="166" fontId="15" fillId="0" borderId="1" xfId="2" applyNumberFormat="1" applyFont="1" applyBorder="1" applyAlignment="1">
      <alignment horizontal="right"/>
    </xf>
    <xf numFmtId="166" fontId="17" fillId="3" borderId="1" xfId="2" applyNumberFormat="1" applyFont="1" applyFill="1" applyBorder="1" applyAlignment="1">
      <alignment horizontal="right"/>
    </xf>
    <xf numFmtId="0" fontId="13" fillId="0" borderId="1" xfId="0" applyFont="1" applyBorder="1" applyAlignment="1">
      <alignment horizontal="center"/>
    </xf>
    <xf numFmtId="166" fontId="13" fillId="0" borderId="1" xfId="2" applyNumberFormat="1" applyFont="1" applyFill="1" applyBorder="1"/>
    <xf numFmtId="166" fontId="13" fillId="0" borderId="1" xfId="2" applyNumberFormat="1" applyFont="1" applyBorder="1"/>
    <xf numFmtId="166" fontId="15" fillId="0" borderId="1" xfId="2" applyNumberFormat="1" applyFont="1" applyBorder="1"/>
    <xf numFmtId="0" fontId="19" fillId="0" borderId="1" xfId="0" applyFont="1" applyBorder="1" applyAlignment="1">
      <alignment horizontal="right"/>
    </xf>
    <xf numFmtId="0" fontId="13" fillId="2" borderId="1" xfId="0" applyFont="1" applyFill="1" applyBorder="1"/>
    <xf numFmtId="0" fontId="14" fillId="0" borderId="1" xfId="0" applyFont="1" applyBorder="1" applyAlignment="1">
      <alignment horizontal="right"/>
    </xf>
    <xf numFmtId="166" fontId="17" fillId="3" borderId="1" xfId="2" applyNumberFormat="1" applyFont="1" applyFill="1" applyBorder="1"/>
    <xf numFmtId="43" fontId="0" fillId="0" borderId="0" xfId="0" applyNumberFormat="1"/>
    <xf numFmtId="167" fontId="0" fillId="0" borderId="0" xfId="0" applyNumberFormat="1"/>
    <xf numFmtId="0" fontId="17" fillId="3" borderId="1" xfId="0" applyFont="1" applyFill="1" applyBorder="1"/>
    <xf numFmtId="166" fontId="1" fillId="4" borderId="1" xfId="2" applyNumberFormat="1" applyFont="1" applyFill="1" applyBorder="1" applyAlignment="1">
      <alignment horizontal="left"/>
    </xf>
    <xf numFmtId="166" fontId="17" fillId="4" borderId="1" xfId="2" applyNumberFormat="1" applyFont="1" applyFill="1" applyBorder="1" applyAlignment="1">
      <alignment horizontal="right"/>
    </xf>
    <xf numFmtId="166" fontId="12" fillId="4" borderId="1" xfId="2" applyNumberFormat="1" applyFont="1" applyFill="1" applyBorder="1" applyAlignment="1">
      <alignment horizontal="right" vertical="center" wrapText="1" readingOrder="1"/>
    </xf>
    <xf numFmtId="166" fontId="12" fillId="0" borderId="1" xfId="2" applyNumberFormat="1" applyFont="1" applyFill="1" applyBorder="1" applyAlignment="1">
      <alignment horizontal="right" vertical="center" wrapText="1" readingOrder="1"/>
    </xf>
    <xf numFmtId="166" fontId="13" fillId="3" borderId="1" xfId="2" applyNumberFormat="1" applyFont="1" applyFill="1" applyBorder="1" applyAlignment="1">
      <alignment horizontal="left"/>
    </xf>
    <xf numFmtId="166" fontId="13" fillId="4" borderId="1" xfId="2" applyNumberFormat="1" applyFont="1" applyFill="1" applyBorder="1" applyAlignment="1">
      <alignment horizontal="left"/>
    </xf>
    <xf numFmtId="166" fontId="1" fillId="0" borderId="1" xfId="2" applyNumberFormat="1" applyFont="1" applyFill="1" applyBorder="1" applyAlignment="1">
      <alignment horizontal="right"/>
    </xf>
    <xf numFmtId="166" fontId="1" fillId="4" borderId="1" xfId="2" applyNumberFormat="1" applyFont="1" applyFill="1" applyBorder="1" applyAlignment="1">
      <alignment horizontal="right"/>
    </xf>
    <xf numFmtId="166" fontId="1" fillId="0" borderId="1" xfId="2" applyNumberFormat="1" applyFont="1" applyBorder="1" applyAlignment="1">
      <alignment horizontal="right"/>
    </xf>
    <xf numFmtId="166" fontId="2" fillId="4" borderId="1" xfId="2" applyNumberFormat="1" applyFont="1" applyFill="1" applyBorder="1" applyAlignment="1">
      <alignment horizontal="right"/>
    </xf>
    <xf numFmtId="166" fontId="11" fillId="8" borderId="1" xfId="0" applyNumberFormat="1" applyFont="1" applyFill="1" applyBorder="1" applyAlignment="1">
      <alignment horizontal="left"/>
    </xf>
    <xf numFmtId="166" fontId="16" fillId="3" borderId="1" xfId="2" applyNumberFormat="1" applyFont="1" applyFill="1" applyBorder="1" applyAlignment="1">
      <alignment horizontal="right"/>
    </xf>
    <xf numFmtId="166" fontId="16" fillId="3" borderId="1" xfId="2" applyNumberFormat="1" applyFont="1" applyFill="1" applyBorder="1"/>
    <xf numFmtId="166" fontId="12" fillId="7" borderId="1" xfId="2" applyNumberFormat="1" applyFont="1" applyFill="1" applyBorder="1" applyAlignment="1">
      <alignment horizontal="right" vertical="center" wrapText="1" readingOrder="1"/>
    </xf>
    <xf numFmtId="166" fontId="15" fillId="3" borderId="1" xfId="2" applyNumberFormat="1" applyFont="1" applyFill="1" applyBorder="1" applyAlignment="1">
      <alignment horizontal="right"/>
    </xf>
    <xf numFmtId="10" fontId="18" fillId="3" borderId="1" xfId="2" applyNumberFormat="1" applyFont="1" applyFill="1" applyBorder="1" applyAlignment="1">
      <alignment horizontal="right"/>
    </xf>
    <xf numFmtId="9" fontId="15" fillId="3" borderId="1" xfId="2" applyNumberFormat="1" applyFont="1" applyFill="1" applyBorder="1"/>
    <xf numFmtId="9" fontId="16" fillId="3" borderId="1" xfId="2" applyNumberFormat="1" applyFont="1" applyFill="1" applyBorder="1"/>
    <xf numFmtId="9" fontId="16" fillId="3" borderId="1" xfId="1" applyFont="1" applyFill="1" applyBorder="1" applyAlignment="1">
      <alignment horizontal="right"/>
    </xf>
    <xf numFmtId="165" fontId="13" fillId="3" borderId="1" xfId="1" applyNumberFormat="1" applyFont="1" applyFill="1" applyBorder="1" applyAlignment="1">
      <alignment horizontal="right"/>
    </xf>
    <xf numFmtId="165" fontId="16" fillId="3" borderId="1" xfId="1" applyNumberFormat="1" applyFont="1" applyFill="1" applyBorder="1" applyAlignment="1">
      <alignment horizontal="right"/>
    </xf>
    <xf numFmtId="164" fontId="1" fillId="0" borderId="1" xfId="0" applyNumberFormat="1" applyFont="1" applyBorder="1"/>
    <xf numFmtId="166" fontId="22" fillId="0" borderId="1" xfId="0" applyNumberFormat="1" applyFont="1" applyBorder="1"/>
    <xf numFmtId="10" fontId="1" fillId="4" borderId="1" xfId="2" applyNumberFormat="1" applyFont="1" applyFill="1" applyBorder="1" applyAlignment="1">
      <alignment horizontal="right"/>
    </xf>
    <xf numFmtId="43" fontId="17" fillId="4" borderId="1" xfId="2" applyFont="1" applyFill="1" applyBorder="1" applyAlignment="1">
      <alignment horizontal="right"/>
    </xf>
    <xf numFmtId="165" fontId="17" fillId="4" borderId="1" xfId="2" applyNumberFormat="1" applyFont="1" applyFill="1" applyBorder="1" applyAlignment="1">
      <alignment horizontal="right"/>
    </xf>
    <xf numFmtId="166" fontId="0" fillId="4" borderId="1" xfId="2" applyNumberFormat="1" applyFont="1" applyFill="1" applyBorder="1" applyAlignment="1">
      <alignment horizontal="right"/>
    </xf>
    <xf numFmtId="166" fontId="11" fillId="8" borderId="1" xfId="0" applyNumberFormat="1" applyFont="1" applyFill="1" applyBorder="1" applyAlignment="1">
      <alignment horizontal="right"/>
    </xf>
    <xf numFmtId="43" fontId="12" fillId="8" borderId="1" xfId="0" applyNumberFormat="1" applyFont="1" applyFill="1" applyBorder="1" applyAlignment="1">
      <alignment horizontal="right"/>
    </xf>
    <xf numFmtId="166" fontId="12" fillId="9" borderId="1" xfId="0" applyNumberFormat="1" applyFont="1" applyFill="1" applyBorder="1" applyAlignment="1">
      <alignment horizontal="left"/>
    </xf>
    <xf numFmtId="166" fontId="12" fillId="9" borderId="1" xfId="0" applyNumberFormat="1" applyFont="1" applyFill="1" applyBorder="1" applyAlignment="1">
      <alignment horizontal="right"/>
    </xf>
    <xf numFmtId="166" fontId="17" fillId="9" borderId="1" xfId="0" applyNumberFormat="1" applyFont="1" applyFill="1" applyBorder="1" applyAlignment="1">
      <alignment horizontal="right"/>
    </xf>
    <xf numFmtId="166" fontId="17" fillId="9" borderId="1" xfId="0" applyNumberFormat="1" applyFont="1" applyFill="1" applyBorder="1" applyAlignment="1">
      <alignment horizontal="left"/>
    </xf>
    <xf numFmtId="166" fontId="11" fillId="3" borderId="1" xfId="2" applyNumberFormat="1" applyFont="1" applyFill="1" applyBorder="1" applyAlignment="1">
      <alignment horizontal="right" vertical="center" wrapText="1" readingOrder="1"/>
    </xf>
    <xf numFmtId="0" fontId="9" fillId="3" borderId="1" xfId="0" applyFont="1" applyFill="1" applyBorder="1"/>
    <xf numFmtId="0" fontId="21" fillId="0" borderId="0" xfId="0" applyFont="1" applyAlignment="1">
      <alignment horizontal="right"/>
    </xf>
    <xf numFmtId="166" fontId="13" fillId="3" borderId="0" xfId="2" applyNumberFormat="1" applyFont="1" applyFill="1" applyBorder="1"/>
    <xf numFmtId="166" fontId="1" fillId="0" borderId="1" xfId="2" applyNumberFormat="1" applyFont="1" applyFill="1" applyBorder="1"/>
    <xf numFmtId="166" fontId="20" fillId="4" borderId="0" xfId="2" applyNumberFormat="1" applyFont="1" applyFill="1" applyBorder="1" applyAlignment="1">
      <alignment horizontal="right"/>
    </xf>
    <xf numFmtId="164" fontId="22" fillId="0" borderId="1" xfId="0" applyNumberFormat="1" applyFont="1" applyBorder="1"/>
    <xf numFmtId="10" fontId="17" fillId="4" borderId="1" xfId="2" applyNumberFormat="1" applyFont="1" applyFill="1" applyBorder="1" applyAlignment="1">
      <alignment horizontal="right"/>
    </xf>
    <xf numFmtId="166" fontId="17" fillId="0" borderId="1" xfId="2" applyNumberFormat="1" applyFont="1" applyBorder="1"/>
    <xf numFmtId="165" fontId="23" fillId="3" borderId="1" xfId="1" applyNumberFormat="1" applyFont="1" applyFill="1" applyBorder="1"/>
    <xf numFmtId="166" fontId="14" fillId="3" borderId="1" xfId="2" applyNumberFormat="1" applyFont="1" applyFill="1" applyBorder="1" applyAlignment="1">
      <alignment horizontal="right" vertical="center" wrapText="1" readingOrder="1"/>
    </xf>
    <xf numFmtId="9" fontId="23" fillId="3" borderId="1" xfId="1" applyFont="1" applyFill="1" applyBorder="1"/>
    <xf numFmtId="165" fontId="14" fillId="3" borderId="1" xfId="1" applyNumberFormat="1" applyFont="1" applyFill="1" applyBorder="1"/>
    <xf numFmtId="10" fontId="14" fillId="3" borderId="1" xfId="1" applyNumberFormat="1" applyFont="1" applyFill="1" applyBorder="1"/>
    <xf numFmtId="166" fontId="17" fillId="7" borderId="1" xfId="2" applyNumberFormat="1" applyFont="1" applyFill="1" applyBorder="1" applyAlignment="1">
      <alignment horizontal="right" vertical="center" wrapText="1" readingOrder="1"/>
    </xf>
    <xf numFmtId="166" fontId="23" fillId="3" borderId="1" xfId="2" applyNumberFormat="1" applyFont="1" applyFill="1" applyBorder="1"/>
    <xf numFmtId="10" fontId="24" fillId="3" borderId="1" xfId="2" applyNumberFormat="1" applyFont="1" applyFill="1" applyBorder="1" applyAlignment="1">
      <alignment horizontal="right"/>
    </xf>
    <xf numFmtId="166" fontId="17" fillId="4" borderId="1" xfId="2" applyNumberFormat="1" applyFont="1" applyFill="1" applyBorder="1"/>
    <xf numFmtId="43" fontId="0" fillId="0" borderId="0" xfId="2" applyFont="1"/>
    <xf numFmtId="0" fontId="14" fillId="3" borderId="1" xfId="0" applyFont="1" applyFill="1" applyBorder="1" applyAlignment="1">
      <alignment horizontal="right"/>
    </xf>
    <xf numFmtId="0" fontId="13" fillId="3" borderId="1" xfId="0" applyFont="1" applyFill="1" applyBorder="1" applyAlignment="1">
      <alignment horizontal="right"/>
    </xf>
    <xf numFmtId="166" fontId="13" fillId="0" borderId="1" xfId="2" applyNumberFormat="1" applyFont="1" applyFill="1" applyBorder="1" applyAlignment="1">
      <alignment horizontal="left"/>
    </xf>
    <xf numFmtId="166" fontId="14" fillId="0" borderId="1" xfId="2" applyNumberFormat="1" applyFont="1" applyFill="1" applyBorder="1" applyAlignment="1">
      <alignment horizontal="right"/>
    </xf>
    <xf numFmtId="166" fontId="17" fillId="0" borderId="1" xfId="0" applyNumberFormat="1" applyFont="1" applyBorder="1" applyAlignment="1">
      <alignment horizontal="right"/>
    </xf>
    <xf numFmtId="0" fontId="13" fillId="0" borderId="2" xfId="0" applyFont="1" applyBorder="1" applyAlignment="1">
      <alignment horizontal="right"/>
    </xf>
    <xf numFmtId="166" fontId="13" fillId="0" borderId="2" xfId="2" applyNumberFormat="1" applyFont="1" applyFill="1" applyBorder="1"/>
    <xf numFmtId="166" fontId="1" fillId="0" borderId="2" xfId="2" applyNumberFormat="1" applyFont="1" applyFill="1" applyBorder="1"/>
    <xf numFmtId="166" fontId="13" fillId="0" borderId="2" xfId="2" applyNumberFormat="1" applyFont="1" applyBorder="1" applyAlignment="1">
      <alignment horizontal="right"/>
    </xf>
    <xf numFmtId="166" fontId="13" fillId="3" borderId="2" xfId="2" applyNumberFormat="1" applyFont="1" applyFill="1" applyBorder="1"/>
    <xf numFmtId="166" fontId="14" fillId="3" borderId="2" xfId="2" applyNumberFormat="1" applyFont="1" applyFill="1" applyBorder="1"/>
    <xf numFmtId="166" fontId="14" fillId="3" borderId="2" xfId="2" applyNumberFormat="1" applyFont="1" applyFill="1" applyBorder="1" applyAlignment="1">
      <alignment horizontal="right"/>
    </xf>
    <xf numFmtId="0" fontId="21" fillId="0" borderId="1" xfId="0" applyFont="1" applyBorder="1" applyAlignment="1">
      <alignment horizontal="right"/>
    </xf>
    <xf numFmtId="164" fontId="15" fillId="0" borderId="1" xfId="0" applyNumberFormat="1" applyFont="1" applyBorder="1"/>
    <xf numFmtId="0" fontId="13" fillId="0" borderId="0" xfId="0" applyFont="1"/>
    <xf numFmtId="166" fontId="14" fillId="0" borderId="0" xfId="2" applyNumberFormat="1" applyFont="1" applyFill="1" applyBorder="1" applyAlignment="1">
      <alignment horizontal="right"/>
    </xf>
    <xf numFmtId="0" fontId="1" fillId="0" borderId="1" xfId="0" applyFont="1" applyBorder="1"/>
    <xf numFmtId="1" fontId="15" fillId="0" borderId="1" xfId="0" applyNumberFormat="1" applyFont="1" applyBorder="1"/>
    <xf numFmtId="166" fontId="17" fillId="0" borderId="1" xfId="2" applyNumberFormat="1" applyFont="1" applyBorder="1" applyAlignment="1">
      <alignment horizontal="right"/>
    </xf>
    <xf numFmtId="166" fontId="23" fillId="3" borderId="1" xfId="2" applyNumberFormat="1" applyFont="1" applyFill="1" applyBorder="1" applyAlignment="1">
      <alignment horizontal="right"/>
    </xf>
    <xf numFmtId="10" fontId="16" fillId="3" borderId="1" xfId="1" applyNumberFormat="1" applyFont="1" applyFill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right"/>
    </xf>
    <xf numFmtId="167" fontId="14" fillId="3" borderId="1" xfId="2" applyNumberFormat="1" applyFont="1" applyFill="1" applyBorder="1"/>
    <xf numFmtId="168" fontId="14" fillId="3" borderId="1" xfId="2" applyNumberFormat="1" applyFont="1" applyFill="1" applyBorder="1"/>
    <xf numFmtId="167" fontId="17" fillId="3" borderId="1" xfId="2" applyNumberFormat="1" applyFont="1" applyFill="1" applyBorder="1"/>
    <xf numFmtId="167" fontId="13" fillId="3" borderId="1" xfId="2" applyNumberFormat="1" applyFont="1" applyFill="1" applyBorder="1" applyAlignment="1">
      <alignment horizontal="right"/>
    </xf>
    <xf numFmtId="169" fontId="0" fillId="0" borderId="1" xfId="0" applyNumberFormat="1" applyBorder="1"/>
    <xf numFmtId="167" fontId="14" fillId="3" borderId="1" xfId="2" applyNumberFormat="1" applyFont="1" applyFill="1" applyBorder="1" applyAlignment="1">
      <alignment horizontal="right"/>
    </xf>
    <xf numFmtId="164" fontId="0" fillId="0" borderId="0" xfId="0" applyNumberFormat="1"/>
    <xf numFmtId="164" fontId="12" fillId="9" borderId="1" xfId="0" applyNumberFormat="1" applyFont="1" applyFill="1" applyBorder="1" applyAlignment="1">
      <alignment horizontal="right"/>
    </xf>
    <xf numFmtId="164" fontId="9" fillId="3" borderId="1" xfId="0" applyNumberFormat="1" applyFont="1" applyFill="1" applyBorder="1"/>
    <xf numFmtId="0" fontId="25" fillId="0" borderId="0" xfId="0" applyFont="1" applyAlignment="1">
      <alignment horizontal="center"/>
    </xf>
    <xf numFmtId="167" fontId="12" fillId="7" borderId="1" xfId="2" applyNumberFormat="1" applyFont="1" applyFill="1" applyBorder="1" applyAlignment="1">
      <alignment horizontal="right" vertical="center" wrapText="1" readingOrder="1"/>
    </xf>
    <xf numFmtId="167" fontId="13" fillId="3" borderId="1" xfId="2" applyNumberFormat="1" applyFont="1" applyFill="1" applyBorder="1"/>
    <xf numFmtId="0" fontId="25" fillId="0" borderId="0" xfId="0" applyFont="1" applyAlignment="1">
      <alignment horizontal="center"/>
    </xf>
    <xf numFmtId="0" fontId="9" fillId="4" borderId="9" xfId="0" applyFont="1" applyFill="1" applyBorder="1" applyAlignment="1">
      <alignment horizontal="left"/>
    </xf>
    <xf numFmtId="0" fontId="9" fillId="4" borderId="3" xfId="0" applyFont="1" applyFill="1" applyBorder="1" applyAlignment="1">
      <alignment horizontal="left"/>
    </xf>
    <xf numFmtId="0" fontId="9" fillId="4" borderId="10" xfId="0" applyFont="1" applyFill="1" applyBorder="1" applyAlignment="1">
      <alignment horizontal="left"/>
    </xf>
    <xf numFmtId="0" fontId="10" fillId="5" borderId="5" xfId="0" applyFont="1" applyFill="1" applyBorder="1" applyAlignment="1">
      <alignment horizontal="center"/>
    </xf>
    <xf numFmtId="0" fontId="10" fillId="5" borderId="6" xfId="0" applyFont="1" applyFill="1" applyBorder="1" applyAlignment="1">
      <alignment horizontal="center"/>
    </xf>
    <xf numFmtId="0" fontId="10" fillId="5" borderId="7" xfId="0" applyFont="1" applyFill="1" applyBorder="1" applyAlignment="1">
      <alignment horizontal="center"/>
    </xf>
    <xf numFmtId="0" fontId="9" fillId="4" borderId="1" xfId="0" applyFont="1" applyFill="1" applyBorder="1" applyAlignment="1">
      <alignment horizontal="left"/>
    </xf>
    <xf numFmtId="0" fontId="0" fillId="4" borderId="14" xfId="0" applyFill="1" applyBorder="1" applyAlignment="1">
      <alignment horizontal="center"/>
    </xf>
    <xf numFmtId="0" fontId="0" fillId="4" borderId="15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0" fillId="4" borderId="16" xfId="0" applyFill="1" applyBorder="1" applyAlignment="1">
      <alignment horizontal="center"/>
    </xf>
  </cellXfs>
  <cellStyles count="4">
    <cellStyle name="Comma" xfId="2" builtinId="3"/>
    <cellStyle name="Comma 2" xfId="3" xr:uid="{00000000-0005-0000-0000-000001000000}"/>
    <cellStyle name="Normal" xfId="0" builtinId="0"/>
    <cellStyle name="Percent" xfId="1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7F7F7F"/>
      <rgbColor rgb="00BFBFBF"/>
      <rgbColor rgb="00FFFF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75"/>
  <sheetViews>
    <sheetView tabSelected="1" topLeftCell="C1" zoomScale="55" zoomScaleNormal="55" workbookViewId="0">
      <pane ySplit="3" topLeftCell="A4" activePane="bottomLeft" state="frozen"/>
      <selection pane="bottomLeft" activeCell="J60" sqref="J60"/>
    </sheetView>
  </sheetViews>
  <sheetFormatPr defaultColWidth="8.7109375" defaultRowHeight="15" x14ac:dyDescent="0.25"/>
  <cols>
    <col min="1" max="1" width="52.28515625" style="1" bestFit="1" customWidth="1"/>
    <col min="2" max="2" width="22.7109375" style="2" hidden="1" customWidth="1"/>
    <col min="3" max="3" width="13.28515625" style="2" customWidth="1"/>
    <col min="4" max="4" width="16.140625" style="2" customWidth="1"/>
    <col min="5" max="5" width="17.42578125" customWidth="1"/>
    <col min="6" max="6" width="15.7109375" bestFit="1" customWidth="1"/>
    <col min="7" max="7" width="17.28515625" bestFit="1" customWidth="1"/>
    <col min="8" max="8" width="18" bestFit="1" customWidth="1"/>
    <col min="9" max="9" width="18" customWidth="1"/>
    <col min="10" max="10" width="16.28515625" bestFit="1" customWidth="1"/>
    <col min="12" max="12" width="57.42578125" style="1" customWidth="1"/>
    <col min="13" max="13" width="18.28515625" style="1" hidden="1" customWidth="1"/>
    <col min="14" max="15" width="16.42578125" style="1" customWidth="1"/>
    <col min="16" max="16" width="13.7109375" bestFit="1" customWidth="1"/>
    <col min="17" max="17" width="17.28515625" bestFit="1" customWidth="1"/>
    <col min="18" max="19" width="16.7109375" bestFit="1" customWidth="1"/>
    <col min="20" max="20" width="16.7109375" customWidth="1"/>
    <col min="21" max="21" width="31" bestFit="1" customWidth="1"/>
    <col min="24" max="24" width="11.140625" bestFit="1" customWidth="1"/>
  </cols>
  <sheetData>
    <row r="1" spans="1:20" x14ac:dyDescent="0.25">
      <c r="A1" s="155" t="s">
        <v>160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5"/>
      <c r="P1" s="155"/>
      <c r="Q1" s="155"/>
      <c r="R1" s="155"/>
      <c r="S1" s="155"/>
      <c r="T1" s="152"/>
    </row>
    <row r="2" spans="1:20" x14ac:dyDescent="0.25">
      <c r="A2"/>
      <c r="B2"/>
      <c r="C2" s="36"/>
      <c r="D2" s="36"/>
      <c r="L2"/>
      <c r="M2"/>
      <c r="N2" s="36"/>
    </row>
    <row r="3" spans="1:20" ht="15.75" x14ac:dyDescent="0.25">
      <c r="A3" s="41" t="s">
        <v>98</v>
      </c>
      <c r="B3" s="42" t="s">
        <v>48</v>
      </c>
      <c r="C3" s="42" t="s">
        <v>84</v>
      </c>
      <c r="D3" s="42" t="s">
        <v>85</v>
      </c>
      <c r="E3" s="43" t="s">
        <v>97</v>
      </c>
      <c r="F3" s="43" t="s">
        <v>156</v>
      </c>
      <c r="G3" s="43" t="s">
        <v>162</v>
      </c>
      <c r="H3" s="43" t="s">
        <v>164</v>
      </c>
      <c r="I3" s="43" t="s">
        <v>165</v>
      </c>
      <c r="L3" s="41" t="s">
        <v>129</v>
      </c>
      <c r="M3" s="63" t="s">
        <v>48</v>
      </c>
      <c r="N3" s="63" t="s">
        <v>84</v>
      </c>
      <c r="O3" s="43" t="s">
        <v>85</v>
      </c>
      <c r="P3" s="43" t="s">
        <v>97</v>
      </c>
      <c r="Q3" s="43" t="s">
        <v>157</v>
      </c>
      <c r="R3" s="43" t="s">
        <v>162</v>
      </c>
      <c r="S3" s="43" t="s">
        <v>164</v>
      </c>
    </row>
    <row r="4" spans="1:20" ht="15.75" x14ac:dyDescent="0.25">
      <c r="A4" s="41" t="s">
        <v>116</v>
      </c>
      <c r="B4" s="60">
        <f>17336.5+800.9</f>
        <v>18137.400000000001</v>
      </c>
      <c r="C4" s="118">
        <f>15385.32+612.812</f>
        <v>15998.132</v>
      </c>
      <c r="D4" s="109">
        <f>13589.149+541.715</f>
        <v>14130.864</v>
      </c>
      <c r="E4" s="109">
        <f>15000.7+446.2</f>
        <v>15446.900000000001</v>
      </c>
      <c r="F4" s="109">
        <f>(190283.12+5572.95)/10</f>
        <v>19585.607</v>
      </c>
      <c r="G4" s="109">
        <f>22081.689+636.134</f>
        <v>22717.822999999997</v>
      </c>
      <c r="H4" s="109">
        <f>26209.12+710.104</f>
        <v>26919.223999999998</v>
      </c>
      <c r="I4" s="109">
        <f>8776.604+176.817</f>
        <v>8953.4209999999985</v>
      </c>
      <c r="L4" s="68" t="s">
        <v>142</v>
      </c>
      <c r="M4" s="69">
        <v>94.8</v>
      </c>
      <c r="N4" s="69">
        <v>94.8</v>
      </c>
      <c r="O4" s="39">
        <v>121.88</v>
      </c>
      <c r="P4" s="69">
        <v>121.88</v>
      </c>
      <c r="Q4" s="69">
        <v>121.881</v>
      </c>
      <c r="R4" s="69">
        <v>121.881</v>
      </c>
      <c r="S4" s="69">
        <v>121.881</v>
      </c>
    </row>
    <row r="5" spans="1:20" ht="15.75" x14ac:dyDescent="0.25">
      <c r="A5" s="44" t="s">
        <v>3</v>
      </c>
      <c r="B5" s="60">
        <v>125.3</v>
      </c>
      <c r="C5" s="109">
        <v>148.6</v>
      </c>
      <c r="D5" s="109">
        <v>78.400000000000006</v>
      </c>
      <c r="E5" s="109">
        <v>88.2</v>
      </c>
      <c r="F5" s="109">
        <f>458.53/10</f>
        <v>45.852999999999994</v>
      </c>
      <c r="G5" s="109">
        <v>131.583</v>
      </c>
      <c r="H5" s="109">
        <v>166.38</v>
      </c>
      <c r="I5" s="109">
        <v>22.460999999999999</v>
      </c>
      <c r="L5" s="68" t="s">
        <v>143</v>
      </c>
      <c r="M5" s="70">
        <v>4899.3</v>
      </c>
      <c r="N5" s="70">
        <v>3879.1</v>
      </c>
      <c r="O5" s="71">
        <v>5126.3</v>
      </c>
      <c r="P5" s="70">
        <v>5639.9430000000002</v>
      </c>
      <c r="Q5" s="89">
        <v>6920.9459999999999</v>
      </c>
      <c r="R5" s="89">
        <v>8330.84</v>
      </c>
      <c r="S5" s="89">
        <v>10038.403</v>
      </c>
    </row>
    <row r="6" spans="1:20" ht="15.75" x14ac:dyDescent="0.25">
      <c r="A6" s="45" t="s">
        <v>115</v>
      </c>
      <c r="B6" s="38">
        <f>SUM(B4:B5)</f>
        <v>18262.7</v>
      </c>
      <c r="C6" s="49">
        <f>SUM(C4:C5)</f>
        <v>16146.732</v>
      </c>
      <c r="D6" s="49">
        <f>SUM(D4:D5)</f>
        <v>14209.263999999999</v>
      </c>
      <c r="E6" s="49">
        <v>15535.1</v>
      </c>
      <c r="F6" s="49">
        <f>F4+F5</f>
        <v>19631.46</v>
      </c>
      <c r="G6" s="49">
        <f>G4+G5</f>
        <v>22849.405999999995</v>
      </c>
      <c r="H6" s="143">
        <f>H4+H5</f>
        <v>27085.603999999999</v>
      </c>
      <c r="I6" s="143">
        <f>I4+I5</f>
        <v>8975.8819999999978</v>
      </c>
      <c r="L6" s="72" t="s">
        <v>112</v>
      </c>
      <c r="M6" s="38">
        <f>SUM(M4:M5)</f>
        <v>4994.1000000000004</v>
      </c>
      <c r="N6" s="38">
        <f>SUM(N4:N5)</f>
        <v>3973.9</v>
      </c>
      <c r="O6" s="38">
        <f>SUM(O4:O5)</f>
        <v>5248.18</v>
      </c>
      <c r="P6" s="38">
        <f>SUM(P4:P5)</f>
        <v>5761.8230000000003</v>
      </c>
      <c r="Q6" s="146">
        <f>SUM(Q4:Q5)</f>
        <v>7042.8270000000002</v>
      </c>
      <c r="R6" s="38">
        <f>R4+R5</f>
        <v>8452.7209999999995</v>
      </c>
      <c r="S6" s="38">
        <f>S4+S5</f>
        <v>10160.284</v>
      </c>
      <c r="T6" s="65"/>
    </row>
    <row r="7" spans="1:20" ht="15.75" x14ac:dyDescent="0.25">
      <c r="A7" s="47" t="s">
        <v>0</v>
      </c>
      <c r="B7" s="88" t="s">
        <v>87</v>
      </c>
      <c r="C7" s="110">
        <f t="shared" ref="C7:H7" si="0">(C6/B6-1)</f>
        <v>-0.1158628242264288</v>
      </c>
      <c r="D7" s="110">
        <f t="shared" si="0"/>
        <v>-0.11999133942397755</v>
      </c>
      <c r="E7" s="110">
        <f t="shared" si="0"/>
        <v>9.3307858872915705E-2</v>
      </c>
      <c r="F7" s="110">
        <f t="shared" si="0"/>
        <v>0.26368417325926452</v>
      </c>
      <c r="G7" s="110">
        <f t="shared" si="0"/>
        <v>0.163917813550291</v>
      </c>
      <c r="H7" s="110">
        <f t="shared" si="0"/>
        <v>0.18539641686965536</v>
      </c>
      <c r="I7" s="110"/>
      <c r="J7" s="119"/>
      <c r="L7" s="72" t="s">
        <v>128</v>
      </c>
      <c r="M7" s="38">
        <f>SUM(M4:M5)</f>
        <v>4994.1000000000004</v>
      </c>
      <c r="N7" s="40">
        <f t="shared" ref="N7:Q7" si="1">SUM(N4:N5)</f>
        <v>3973.9</v>
      </c>
      <c r="O7" s="40">
        <f t="shared" si="1"/>
        <v>5248.18</v>
      </c>
      <c r="P7" s="40">
        <f t="shared" si="1"/>
        <v>5761.8230000000003</v>
      </c>
      <c r="Q7" s="40">
        <f t="shared" si="1"/>
        <v>7042.8270000000002</v>
      </c>
      <c r="R7" s="40">
        <f>R6</f>
        <v>8452.7209999999995</v>
      </c>
      <c r="S7" s="40">
        <f>S6</f>
        <v>10160.284</v>
      </c>
    </row>
    <row r="8" spans="1:20" ht="15.75" x14ac:dyDescent="0.25">
      <c r="A8" s="47" t="s">
        <v>86</v>
      </c>
      <c r="B8" s="88" t="s">
        <v>87</v>
      </c>
      <c r="C8" s="110">
        <v>0</v>
      </c>
      <c r="D8" s="110">
        <f>+(D6/B6)^(1/3)-1</f>
        <v>-8.0251970461558075E-2</v>
      </c>
      <c r="E8" s="110">
        <f>+(E6/C6)^(1/3)-1</f>
        <v>-1.2789410201570428E-2</v>
      </c>
      <c r="F8" s="110">
        <f>+(F6/C6)^(1/3)-1</f>
        <v>6.7306909157985872E-2</v>
      </c>
      <c r="G8" s="110">
        <f>+(G6/D6)^(1/3)-1</f>
        <v>0.17156874494373264</v>
      </c>
      <c r="H8" s="110">
        <f>+(H6/E6)^(1/3)-1</f>
        <v>0.20357961592447538</v>
      </c>
      <c r="I8" s="110"/>
      <c r="J8" s="119"/>
      <c r="L8" s="72" t="s">
        <v>144</v>
      </c>
      <c r="M8" s="38">
        <f>SUM(M9:M10)</f>
        <v>2614.8999999999996</v>
      </c>
      <c r="N8" s="38">
        <f t="shared" ref="N8:P8" si="2">SUM(N9:N10)</f>
        <v>3714.1</v>
      </c>
      <c r="O8" s="38">
        <f t="shared" si="2"/>
        <v>2479.5500000000002</v>
      </c>
      <c r="P8" s="38">
        <f t="shared" si="2"/>
        <v>1280.598</v>
      </c>
      <c r="Q8" s="38">
        <f>SUM(Q9:Q10)</f>
        <v>892.02499999999998</v>
      </c>
      <c r="R8" s="38">
        <f>SUM(R9:R10)</f>
        <v>466.23700000000002</v>
      </c>
      <c r="S8" s="38">
        <f>SUM(S9:S10)</f>
        <v>1245.0309999999999</v>
      </c>
    </row>
    <row r="9" spans="1:20" ht="15.75" x14ac:dyDescent="0.25">
      <c r="A9" s="136" t="s">
        <v>159</v>
      </c>
      <c r="B9" s="39">
        <v>11821.9</v>
      </c>
      <c r="C9" s="48">
        <v>10311.99</v>
      </c>
      <c r="D9" s="48">
        <v>9277.7000000000007</v>
      </c>
      <c r="E9" s="48">
        <v>10133.799999999999</v>
      </c>
      <c r="F9" s="48">
        <f>132411.44/10</f>
        <v>13241.144</v>
      </c>
      <c r="G9" s="48">
        <v>15097.239</v>
      </c>
      <c r="H9" s="48">
        <v>17774.909</v>
      </c>
      <c r="I9" s="48">
        <v>6149.3990000000003</v>
      </c>
      <c r="L9" s="73" t="s">
        <v>145</v>
      </c>
      <c r="M9" s="74">
        <f>M45</f>
        <v>969.8</v>
      </c>
      <c r="N9" s="74">
        <f>N45</f>
        <v>2383</v>
      </c>
      <c r="O9" s="74">
        <f>O45</f>
        <v>1996.8</v>
      </c>
      <c r="P9" s="74">
        <f>P45</f>
        <v>931.09799999999996</v>
      </c>
      <c r="Q9" s="28">
        <v>267.58100000000002</v>
      </c>
      <c r="R9" s="141" t="s">
        <v>89</v>
      </c>
      <c r="S9" s="141">
        <v>678.10299999999995</v>
      </c>
    </row>
    <row r="10" spans="1:20" ht="15.75" x14ac:dyDescent="0.25">
      <c r="A10" s="44" t="s">
        <v>45</v>
      </c>
      <c r="B10" s="48">
        <v>799.99</v>
      </c>
      <c r="C10" s="48">
        <v>675.495</v>
      </c>
      <c r="D10" s="48">
        <v>546.70000000000005</v>
      </c>
      <c r="E10" s="48">
        <v>479.20800000000003</v>
      </c>
      <c r="F10" s="48">
        <f>5972.32/10</f>
        <v>597.23199999999997</v>
      </c>
      <c r="G10" s="48">
        <v>714.86</v>
      </c>
      <c r="H10" s="48">
        <v>780.75400000000002</v>
      </c>
      <c r="I10" s="48">
        <v>184.23500000000001</v>
      </c>
      <c r="J10" s="65"/>
      <c r="L10" s="73" t="s">
        <v>146</v>
      </c>
      <c r="M10" s="74">
        <f>M34</f>
        <v>1645.1</v>
      </c>
      <c r="N10" s="74">
        <f>N34</f>
        <v>1331.1</v>
      </c>
      <c r="O10" s="74">
        <f>O34</f>
        <v>482.75</v>
      </c>
      <c r="P10" s="74">
        <f>P34</f>
        <v>349.5</v>
      </c>
      <c r="Q10" s="7">
        <f>624.444</f>
        <v>624.44399999999996</v>
      </c>
      <c r="R10" s="7">
        <v>466.23700000000002</v>
      </c>
      <c r="S10" s="28">
        <v>566.928</v>
      </c>
    </row>
    <row r="11" spans="1:20" ht="15.75" x14ac:dyDescent="0.25">
      <c r="A11" s="44" t="s">
        <v>46</v>
      </c>
      <c r="B11" s="39">
        <v>69.400000000000006</v>
      </c>
      <c r="C11" s="48">
        <v>86.078999999999994</v>
      </c>
      <c r="D11" s="48">
        <v>-176.2</v>
      </c>
      <c r="E11" s="48">
        <v>83.31</v>
      </c>
      <c r="F11" s="48">
        <f>(-1054.75)/10</f>
        <v>-105.47499999999999</v>
      </c>
      <c r="G11" s="48">
        <v>-259.90100000000001</v>
      </c>
      <c r="H11" s="48">
        <v>51.697000000000003</v>
      </c>
      <c r="I11" s="48">
        <v>-92.364999999999995</v>
      </c>
      <c r="L11" s="72" t="s">
        <v>147</v>
      </c>
      <c r="M11" s="38">
        <f t="shared" ref="M11:P11" si="3">M52-M33</f>
        <v>6653.0800000000017</v>
      </c>
      <c r="N11" s="38">
        <f t="shared" si="3"/>
        <v>7272.9400000000005</v>
      </c>
      <c r="O11" s="38">
        <f t="shared" si="3"/>
        <v>8281.19</v>
      </c>
      <c r="P11" s="38">
        <f t="shared" si="3"/>
        <v>7618.6130000000021</v>
      </c>
      <c r="Q11" s="38">
        <f>Q52-Q33</f>
        <v>8093.6120000000019</v>
      </c>
      <c r="R11" s="38">
        <f>R52-R33</f>
        <v>9100.2989999999991</v>
      </c>
      <c r="S11" s="38">
        <f>S52-S33</f>
        <v>11924.383</v>
      </c>
    </row>
    <row r="12" spans="1:20" ht="15.75" x14ac:dyDescent="0.25">
      <c r="A12" s="44" t="s">
        <v>33</v>
      </c>
      <c r="B12" s="39">
        <v>2508.6999999999998</v>
      </c>
      <c r="C12" s="48">
        <v>2267.27</v>
      </c>
      <c r="D12" s="48">
        <v>1665.2</v>
      </c>
      <c r="E12" s="48">
        <v>1918.0650000000001</v>
      </c>
      <c r="F12" s="48">
        <f>22749.33/10</f>
        <v>2274.933</v>
      </c>
      <c r="G12" s="48">
        <v>2626.404</v>
      </c>
      <c r="H12" s="48">
        <v>3247.0039999999999</v>
      </c>
      <c r="I12" s="48">
        <v>1076.5619999999999</v>
      </c>
      <c r="L12" s="72" t="s">
        <v>106</v>
      </c>
      <c r="M12" s="38">
        <f t="shared" ref="M12:R12" si="4">SUM(M13:M22)</f>
        <v>7908.38</v>
      </c>
      <c r="N12" s="38">
        <f t="shared" si="4"/>
        <v>8239.9</v>
      </c>
      <c r="O12" s="38">
        <f t="shared" si="4"/>
        <v>7059.7000000000007</v>
      </c>
      <c r="P12" s="38">
        <f t="shared" si="4"/>
        <v>6494.6919999999991</v>
      </c>
      <c r="Q12" s="146">
        <f t="shared" si="4"/>
        <v>6438.0470000000014</v>
      </c>
      <c r="R12" s="146">
        <f t="shared" si="4"/>
        <v>6926.8729999999996</v>
      </c>
      <c r="S12" s="146">
        <f>SUM(S13:S22)</f>
        <v>9690.75</v>
      </c>
    </row>
    <row r="13" spans="1:20" ht="15.75" x14ac:dyDescent="0.25">
      <c r="A13" s="44" t="s">
        <v>34</v>
      </c>
      <c r="B13" s="39">
        <v>2696.6</v>
      </c>
      <c r="C13" s="48">
        <v>1808.326</v>
      </c>
      <c r="D13" s="48">
        <v>1038.7</v>
      </c>
      <c r="E13" s="48">
        <v>1026.7560000000001</v>
      </c>
      <c r="F13" s="48">
        <f>12930.23/10</f>
        <v>1293.0229999999999</v>
      </c>
      <c r="G13" s="48">
        <v>1808.652</v>
      </c>
      <c r="H13" s="48">
        <v>1935.9179999999999</v>
      </c>
      <c r="I13" s="48">
        <v>645.91999999999996</v>
      </c>
      <c r="L13" s="68" t="s">
        <v>88</v>
      </c>
      <c r="M13" s="75">
        <v>4248.6000000000004</v>
      </c>
      <c r="N13" s="75">
        <v>4395.8999999999996</v>
      </c>
      <c r="O13" s="75">
        <v>3746.7</v>
      </c>
      <c r="P13" s="75">
        <v>3743.5</v>
      </c>
      <c r="Q13" s="69">
        <v>3958.6289999999999</v>
      </c>
      <c r="R13" s="69">
        <v>4592.0050000000001</v>
      </c>
      <c r="S13" s="69">
        <v>7065.1540000000005</v>
      </c>
      <c r="T13" s="106">
        <v>4809.76</v>
      </c>
    </row>
    <row r="14" spans="1:20" ht="15.75" x14ac:dyDescent="0.25">
      <c r="A14" s="45" t="s">
        <v>1</v>
      </c>
      <c r="B14" s="101">
        <f>B4-(SUM(B9:B13))</f>
        <v>240.81000000000495</v>
      </c>
      <c r="C14" s="111">
        <f t="shared" ref="C14:E14" si="5">C4-(SUM(C9:C13))</f>
        <v>848.97199999999975</v>
      </c>
      <c r="D14" s="111">
        <f t="shared" si="5"/>
        <v>1778.7639999999974</v>
      </c>
      <c r="E14" s="111">
        <f t="shared" si="5"/>
        <v>1805.7610000000022</v>
      </c>
      <c r="F14" s="111">
        <f>F4-(SUM(F9:F13))</f>
        <v>2284.75</v>
      </c>
      <c r="G14" s="111">
        <f>G4-(SUM(G9:G13))</f>
        <v>2730.5689999999959</v>
      </c>
      <c r="H14" s="111">
        <f>H4-(SUM(H9:H13))</f>
        <v>3128.9419999999955</v>
      </c>
      <c r="I14" s="111">
        <f>I4-(SUM(I9:I13))</f>
        <v>989.66999999999825</v>
      </c>
      <c r="J14" s="65"/>
      <c r="L14" s="68" t="s">
        <v>120</v>
      </c>
      <c r="M14" s="75" t="s">
        <v>89</v>
      </c>
      <c r="N14" s="75">
        <v>422.7</v>
      </c>
      <c r="O14" s="75">
        <v>459.1</v>
      </c>
      <c r="P14" s="75">
        <v>391.69200000000001</v>
      </c>
      <c r="Q14" s="90">
        <v>344.63600000000002</v>
      </c>
      <c r="R14" s="90">
        <v>277.17700000000002</v>
      </c>
      <c r="S14" s="90">
        <v>263.48</v>
      </c>
    </row>
    <row r="15" spans="1:20" ht="15.75" x14ac:dyDescent="0.25">
      <c r="A15" s="47" t="s">
        <v>0</v>
      </c>
      <c r="B15" s="86" t="s">
        <v>87</v>
      </c>
      <c r="C15" s="112">
        <f t="shared" ref="C15:H15" si="6">(C14/B14-1)</f>
        <v>2.5254848220588113</v>
      </c>
      <c r="D15" s="112">
        <f t="shared" si="6"/>
        <v>1.0951974859005924</v>
      </c>
      <c r="E15" s="112">
        <f t="shared" si="6"/>
        <v>1.5177392841324133E-2</v>
      </c>
      <c r="F15" s="112">
        <f t="shared" si="6"/>
        <v>0.26525603332888315</v>
      </c>
      <c r="G15" s="112">
        <f t="shared" si="6"/>
        <v>0.19512813218076186</v>
      </c>
      <c r="H15" s="112">
        <f t="shared" si="6"/>
        <v>0.14589376792895559</v>
      </c>
      <c r="I15" s="112"/>
      <c r="L15" s="68" t="s">
        <v>47</v>
      </c>
      <c r="M15" s="75">
        <v>136</v>
      </c>
      <c r="N15" s="75">
        <v>218.97</v>
      </c>
      <c r="O15" s="75">
        <v>197.6</v>
      </c>
      <c r="P15" s="75">
        <v>84.4</v>
      </c>
      <c r="Q15" s="90">
        <f>139.856</f>
        <v>139.85599999999999</v>
      </c>
      <c r="R15" s="90">
        <v>379.00799999999998</v>
      </c>
      <c r="S15" s="90">
        <v>699.03399999999999</v>
      </c>
      <c r="T15" s="65"/>
    </row>
    <row r="16" spans="1:20" ht="15.75" x14ac:dyDescent="0.25">
      <c r="A16" s="47" t="s">
        <v>86</v>
      </c>
      <c r="B16" s="86" t="s">
        <v>87</v>
      </c>
      <c r="C16" s="112">
        <v>0</v>
      </c>
      <c r="D16" s="112">
        <f>+(D14/B14)^(1/3)-1</f>
        <v>0.94751706210204167</v>
      </c>
      <c r="E16" s="112">
        <f>+(E14/C14)^(1/3)-1</f>
        <v>0.28604342694995344</v>
      </c>
      <c r="F16" s="112">
        <f>+(F14/C14)^(1/3)-1</f>
        <v>0.39096149001989988</v>
      </c>
      <c r="G16" s="112">
        <f>+(G14/D14)^(1/3)-1</f>
        <v>0.1535726248798206</v>
      </c>
      <c r="H16" s="112">
        <f>+(H14/E14)^(1/3)-1</f>
        <v>0.20109976295273602</v>
      </c>
      <c r="I16" s="112"/>
      <c r="L16" s="68" t="s">
        <v>148</v>
      </c>
      <c r="M16" s="75">
        <v>99.4</v>
      </c>
      <c r="N16" s="75">
        <v>95.2</v>
      </c>
      <c r="O16" s="75">
        <v>150.30000000000001</v>
      </c>
      <c r="P16" s="75">
        <v>153.9</v>
      </c>
      <c r="Q16" s="90">
        <f>69.497</f>
        <v>69.497</v>
      </c>
      <c r="R16" s="90">
        <v>66.861000000000004</v>
      </c>
      <c r="S16" s="90">
        <v>64.224999999999994</v>
      </c>
    </row>
    <row r="17" spans="1:20" ht="15.75" x14ac:dyDescent="0.25">
      <c r="A17" s="45" t="s">
        <v>2</v>
      </c>
      <c r="B17" s="87">
        <f t="shared" ref="B17:F17" si="7">(B14/B4)</f>
        <v>1.3276985676006756E-2</v>
      </c>
      <c r="C17" s="113">
        <f t="shared" si="7"/>
        <v>5.3066945565894807E-2</v>
      </c>
      <c r="D17" s="113">
        <f t="shared" si="7"/>
        <v>0.12587793640926681</v>
      </c>
      <c r="E17" s="114">
        <f t="shared" si="7"/>
        <v>0.11690119053013887</v>
      </c>
      <c r="F17" s="114">
        <f t="shared" si="7"/>
        <v>0.11665454126594085</v>
      </c>
      <c r="G17" s="114">
        <f>(G14/G4)</f>
        <v>0.12019501164350106</v>
      </c>
      <c r="H17" s="114">
        <f>(H14/H4)</f>
        <v>0.11623447986464973</v>
      </c>
      <c r="I17" s="114">
        <f>(I14/I4)</f>
        <v>0.11053540317159199</v>
      </c>
      <c r="L17" s="68" t="s">
        <v>103</v>
      </c>
      <c r="M17" s="75">
        <v>1092.7</v>
      </c>
      <c r="N17" s="75">
        <v>993.43</v>
      </c>
      <c r="O17" s="75">
        <v>894.1</v>
      </c>
      <c r="P17" s="75">
        <v>794.7</v>
      </c>
      <c r="Q17" s="90">
        <f>695.38</f>
        <v>695.38</v>
      </c>
      <c r="R17" s="90">
        <v>596.04</v>
      </c>
      <c r="S17" s="90">
        <v>517.21100000000001</v>
      </c>
      <c r="T17" s="66"/>
    </row>
    <row r="18" spans="1:20" ht="15.75" x14ac:dyDescent="0.25">
      <c r="A18" s="44" t="s">
        <v>4</v>
      </c>
      <c r="B18" s="60">
        <v>939.7</v>
      </c>
      <c r="C18" s="109">
        <v>1058.55</v>
      </c>
      <c r="D18" s="109">
        <v>941.9</v>
      </c>
      <c r="E18" s="109">
        <v>818.3</v>
      </c>
      <c r="F18" s="109">
        <f>7790.78/10</f>
        <v>779.07799999999997</v>
      </c>
      <c r="G18" s="109">
        <v>820.60599999999999</v>
      </c>
      <c r="H18" s="149">
        <v>897.524</v>
      </c>
      <c r="I18" s="28">
        <v>286.44499999999999</v>
      </c>
      <c r="L18" s="68" t="s">
        <v>104</v>
      </c>
      <c r="M18" s="75">
        <v>1544.7</v>
      </c>
      <c r="N18" s="75">
        <v>1405.4</v>
      </c>
      <c r="O18" s="75">
        <v>1168.3</v>
      </c>
      <c r="P18" s="75">
        <v>1034.3800000000001</v>
      </c>
      <c r="Q18" s="90">
        <f>902.946</f>
        <v>902.94600000000003</v>
      </c>
      <c r="R18" s="90">
        <v>784.07100000000003</v>
      </c>
      <c r="S18" s="90">
        <v>799.029</v>
      </c>
    </row>
    <row r="19" spans="1:20" ht="15.75" x14ac:dyDescent="0.25">
      <c r="A19" s="44" t="s">
        <v>5</v>
      </c>
      <c r="B19" s="60">
        <v>353.4</v>
      </c>
      <c r="C19" s="109">
        <v>442.1</v>
      </c>
      <c r="D19" s="109">
        <v>430.7</v>
      </c>
      <c r="E19" s="109">
        <v>272.8</v>
      </c>
      <c r="F19" s="109">
        <f>1828.25/10</f>
        <v>182.82499999999999</v>
      </c>
      <c r="G19" s="109">
        <v>182.5</v>
      </c>
      <c r="H19" s="109">
        <v>131.65</v>
      </c>
      <c r="I19" s="109">
        <v>64.212999999999994</v>
      </c>
      <c r="L19" s="68" t="s">
        <v>121</v>
      </c>
      <c r="M19" s="75" t="s">
        <v>89</v>
      </c>
      <c r="N19" s="75">
        <v>5.4</v>
      </c>
      <c r="O19" s="75" t="s">
        <v>89</v>
      </c>
      <c r="P19" s="75" t="s">
        <v>149</v>
      </c>
      <c r="Q19" s="90">
        <v>6.2489999999999997</v>
      </c>
      <c r="R19" s="90">
        <v>3.8149999999999999</v>
      </c>
      <c r="S19" s="90">
        <v>4.7140000000000004</v>
      </c>
    </row>
    <row r="20" spans="1:20" ht="15.75" x14ac:dyDescent="0.25">
      <c r="A20" s="44" t="s">
        <v>117</v>
      </c>
      <c r="B20" s="55" t="s">
        <v>89</v>
      </c>
      <c r="C20" s="138" t="s">
        <v>89</v>
      </c>
      <c r="D20" s="138" t="s">
        <v>89</v>
      </c>
      <c r="E20" s="138" t="s">
        <v>89</v>
      </c>
      <c r="F20" s="109">
        <v>97.5</v>
      </c>
      <c r="G20" s="109">
        <v>0</v>
      </c>
      <c r="H20" s="109">
        <v>0</v>
      </c>
      <c r="I20" s="109">
        <v>0</v>
      </c>
      <c r="L20" s="68" t="s">
        <v>93</v>
      </c>
      <c r="M20" s="75">
        <v>62.6</v>
      </c>
      <c r="N20" s="75">
        <v>77.900000000000006</v>
      </c>
      <c r="O20" s="75">
        <v>80.400000000000006</v>
      </c>
      <c r="P20" s="75">
        <v>67.3</v>
      </c>
      <c r="Q20" s="90">
        <f>(120+732.52)/10</f>
        <v>85.251999999999995</v>
      </c>
      <c r="R20" s="90">
        <f>(120+691.3)/10</f>
        <v>81.13</v>
      </c>
      <c r="S20" s="90">
        <f>(714.38+835.81)/10</f>
        <v>155.01900000000001</v>
      </c>
    </row>
    <row r="21" spans="1:20" ht="15.75" x14ac:dyDescent="0.25">
      <c r="A21" s="45" t="s">
        <v>140</v>
      </c>
      <c r="B21" s="49">
        <f>B14-SUM(B18:B19)</f>
        <v>-1052.289999999995</v>
      </c>
      <c r="C21" s="49">
        <f>C14-SUM(C18:C19)</f>
        <v>-651.67800000000034</v>
      </c>
      <c r="D21" s="49">
        <v>484.9</v>
      </c>
      <c r="E21" s="49">
        <f>E14-SUM(E18:E19)+E5</f>
        <v>802.86100000000238</v>
      </c>
      <c r="F21" s="143">
        <f>F14-SUM(F18:F19)+F20+F5</f>
        <v>1466.2</v>
      </c>
      <c r="G21" s="144">
        <f>G14-SUM(G18:G19)+G20+G5</f>
        <v>1859.045999999996</v>
      </c>
      <c r="H21" s="144">
        <f>H14-SUM(H18:H19)+H20+H5</f>
        <v>2266.1479999999956</v>
      </c>
      <c r="I21" s="144">
        <f>I14-SUM(I18:I19)+I20+I5</f>
        <v>661.47299999999825</v>
      </c>
      <c r="L21" s="68" t="s">
        <v>105</v>
      </c>
      <c r="M21" s="75" t="s">
        <v>89</v>
      </c>
      <c r="N21" s="75">
        <v>3.1</v>
      </c>
      <c r="O21" s="75">
        <v>13</v>
      </c>
      <c r="P21" s="75">
        <v>6.32</v>
      </c>
      <c r="Q21" s="90">
        <v>3.4620000000000002</v>
      </c>
      <c r="R21" s="90">
        <v>2.9609999999999999</v>
      </c>
      <c r="S21" s="90">
        <v>2.0779999999999998</v>
      </c>
    </row>
    <row r="22" spans="1:20" ht="15.75" x14ac:dyDescent="0.25">
      <c r="A22" s="44" t="s">
        <v>6</v>
      </c>
      <c r="B22" s="81">
        <v>10.3</v>
      </c>
      <c r="C22" s="115">
        <f>5.4+(-38.365-2.68)</f>
        <v>-35.645000000000003</v>
      </c>
      <c r="D22" s="115">
        <v>326.7</v>
      </c>
      <c r="E22" s="115">
        <f>(3090.33+1.47-173.23)/10</f>
        <v>291.85699999999997</v>
      </c>
      <c r="F22" s="115">
        <f>(3620.32-1426.85)/10</f>
        <v>219.34700000000004</v>
      </c>
      <c r="G22" s="115">
        <f>504.519-42.548-9.04</f>
        <v>452.93099999999998</v>
      </c>
      <c r="H22" s="115">
        <f>651.174-54.594-0.731</f>
        <v>595.84899999999993</v>
      </c>
      <c r="I22" s="115">
        <f>175.498-12.962</f>
        <v>162.536</v>
      </c>
      <c r="L22" s="68" t="s">
        <v>90</v>
      </c>
      <c r="M22" s="75">
        <v>724.38</v>
      </c>
      <c r="N22" s="75">
        <v>621.9</v>
      </c>
      <c r="O22" s="75">
        <v>350.2</v>
      </c>
      <c r="P22" s="75">
        <v>218.5</v>
      </c>
      <c r="Q22" s="90">
        <v>232.14</v>
      </c>
      <c r="R22" s="90">
        <v>143.80500000000001</v>
      </c>
      <c r="S22" s="90">
        <v>120.806</v>
      </c>
    </row>
    <row r="23" spans="1:20" ht="15.75" x14ac:dyDescent="0.25">
      <c r="A23" s="47" t="s">
        <v>7</v>
      </c>
      <c r="B23" s="88">
        <f t="shared" ref="B23:E23" si="8">(B22/B21)</f>
        <v>-9.7881762631974543E-3</v>
      </c>
      <c r="C23" s="110">
        <f t="shared" si="8"/>
        <v>5.4697258462001151E-2</v>
      </c>
      <c r="D23" s="110">
        <f t="shared" si="8"/>
        <v>0.67374716436378634</v>
      </c>
      <c r="E23" s="110">
        <f t="shared" si="8"/>
        <v>0.36352120728245502</v>
      </c>
      <c r="F23" s="110">
        <f>(F22/F21)</f>
        <v>0.14960237348247171</v>
      </c>
      <c r="G23" s="110">
        <f>(G22/G21)</f>
        <v>0.24363625214222831</v>
      </c>
      <c r="H23" s="110">
        <f>(H22/H21)</f>
        <v>0.26293472447518923</v>
      </c>
      <c r="I23" s="110">
        <f>(I22/I21)</f>
        <v>0.24571826816816472</v>
      </c>
      <c r="L23" s="72" t="s">
        <v>114</v>
      </c>
      <c r="M23" s="38">
        <f t="shared" ref="M23:P23" si="9">SUM(M24:M32)</f>
        <v>8114</v>
      </c>
      <c r="N23" s="38">
        <f t="shared" si="9"/>
        <v>5062.34</v>
      </c>
      <c r="O23" s="38">
        <f t="shared" si="9"/>
        <v>5302.9</v>
      </c>
      <c r="P23" s="38">
        <f t="shared" si="9"/>
        <v>5492.7790000000014</v>
      </c>
      <c r="Q23" s="146">
        <f>SUM(Q24:Q30)</f>
        <v>6441.3110000000006</v>
      </c>
      <c r="R23" s="146">
        <f>SUM(R24:R32)</f>
        <v>7429.5079999999998</v>
      </c>
      <c r="S23" s="146">
        <f>SUM(S24:S32)</f>
        <v>9802.8619999999992</v>
      </c>
    </row>
    <row r="24" spans="1:20" ht="15.75" x14ac:dyDescent="0.25">
      <c r="A24" s="45" t="s">
        <v>99</v>
      </c>
      <c r="B24" s="82">
        <v>-937.4</v>
      </c>
      <c r="C24" s="64">
        <f t="shared" ref="C24:G24" si="10">C21-C22</f>
        <v>-616.03300000000036</v>
      </c>
      <c r="D24" s="64">
        <f t="shared" si="10"/>
        <v>158.19999999999999</v>
      </c>
      <c r="E24" s="64">
        <f t="shared" si="10"/>
        <v>511.00400000000241</v>
      </c>
      <c r="F24" s="145">
        <f t="shared" si="10"/>
        <v>1246.8530000000001</v>
      </c>
      <c r="G24" s="145">
        <f t="shared" si="10"/>
        <v>1406.1149999999959</v>
      </c>
      <c r="H24" s="145">
        <f>H21-H22</f>
        <v>1670.2989999999957</v>
      </c>
      <c r="I24" s="145">
        <f>I21-I22</f>
        <v>498.93699999999825</v>
      </c>
      <c r="L24" s="68" t="s">
        <v>17</v>
      </c>
      <c r="M24" s="75">
        <v>1824.9</v>
      </c>
      <c r="N24" s="75">
        <v>2361.1999999999998</v>
      </c>
      <c r="O24" s="75">
        <v>2431.6</v>
      </c>
      <c r="P24" s="75">
        <v>2364.73</v>
      </c>
      <c r="Q24" s="107">
        <v>2716.7919999999999</v>
      </c>
      <c r="R24" s="107">
        <v>3202.65</v>
      </c>
      <c r="S24" s="107">
        <v>3626.3009999999999</v>
      </c>
    </row>
    <row r="25" spans="1:20" ht="15.75" x14ac:dyDescent="0.25">
      <c r="A25" s="47" t="s">
        <v>100</v>
      </c>
      <c r="B25" s="79">
        <v>-801.2</v>
      </c>
      <c r="C25" s="116">
        <v>-520.10599999999999</v>
      </c>
      <c r="D25" s="116">
        <v>256.7</v>
      </c>
      <c r="E25" s="139" t="s">
        <v>89</v>
      </c>
      <c r="F25" s="139" t="s">
        <v>89</v>
      </c>
      <c r="G25" s="139" t="s">
        <v>89</v>
      </c>
      <c r="H25" s="139">
        <v>0</v>
      </c>
      <c r="I25" s="139">
        <v>1</v>
      </c>
      <c r="L25" s="68" t="s">
        <v>113</v>
      </c>
      <c r="M25" s="75">
        <v>26.9</v>
      </c>
      <c r="N25" s="75">
        <v>47.14</v>
      </c>
      <c r="O25" s="75">
        <v>8</v>
      </c>
      <c r="P25" s="75">
        <v>21.33</v>
      </c>
      <c r="Q25" s="107">
        <f>36.392</f>
        <v>36.392000000000003</v>
      </c>
      <c r="R25" s="107">
        <v>51.685000000000002</v>
      </c>
      <c r="S25" s="107">
        <v>69.393000000000001</v>
      </c>
    </row>
    <row r="26" spans="1:20" ht="15.75" x14ac:dyDescent="0.25">
      <c r="A26" s="45" t="s">
        <v>118</v>
      </c>
      <c r="B26" s="49">
        <f>SUM(B24:B25)</f>
        <v>-1738.6</v>
      </c>
      <c r="C26" s="49">
        <f>SUM(C24:C25)</f>
        <v>-1136.1390000000004</v>
      </c>
      <c r="D26" s="49">
        <f>SUM(D24:D25)</f>
        <v>414.9</v>
      </c>
      <c r="E26" s="49">
        <f>SUM(E24:E25)</f>
        <v>511.00400000000241</v>
      </c>
      <c r="F26" s="49">
        <f>F21-F22</f>
        <v>1246.8530000000001</v>
      </c>
      <c r="G26" s="49">
        <f>G21-G22</f>
        <v>1406.1149999999959</v>
      </c>
      <c r="H26" s="143">
        <f>H21-H22</f>
        <v>1670.2989999999957</v>
      </c>
      <c r="I26" s="143">
        <f>I21-I22</f>
        <v>498.93699999999825</v>
      </c>
      <c r="L26" s="68" t="s">
        <v>91</v>
      </c>
      <c r="M26" s="75">
        <v>1947.9</v>
      </c>
      <c r="N26" s="75">
        <v>1960.2</v>
      </c>
      <c r="O26" s="75">
        <v>1878.8</v>
      </c>
      <c r="P26" s="75">
        <v>2389.2080000000001</v>
      </c>
      <c r="Q26" s="107">
        <f>2689.791</f>
        <v>2689.7910000000002</v>
      </c>
      <c r="R26" s="107">
        <v>2870.4070000000002</v>
      </c>
      <c r="S26" s="107">
        <v>4727.3810000000003</v>
      </c>
    </row>
    <row r="27" spans="1:20" ht="15.75" x14ac:dyDescent="0.25">
      <c r="A27" s="50" t="s">
        <v>40</v>
      </c>
      <c r="B27" s="83">
        <f t="shared" ref="B27:E27" si="11">B26/B4</f>
        <v>-9.5857179088513225E-2</v>
      </c>
      <c r="C27" s="49">
        <f t="shared" si="11"/>
        <v>-7.1016978732267019E-2</v>
      </c>
      <c r="D27" s="117">
        <f t="shared" si="11"/>
        <v>2.9361261986528213E-2</v>
      </c>
      <c r="E27" s="117">
        <f t="shared" si="11"/>
        <v>3.3081330234545597E-2</v>
      </c>
      <c r="F27" s="117">
        <f>F26/F4</f>
        <v>6.3661698103101946E-2</v>
      </c>
      <c r="G27" s="117">
        <f>G26/G4</f>
        <v>6.1894795113070306E-2</v>
      </c>
      <c r="H27" s="117">
        <f>H26/H4</f>
        <v>6.2048556823183158E-2</v>
      </c>
      <c r="I27" s="117">
        <f>I26/I4</f>
        <v>5.5725850487763094E-2</v>
      </c>
      <c r="L27" s="68" t="s">
        <v>92</v>
      </c>
      <c r="M27" s="75">
        <v>389.6</v>
      </c>
      <c r="N27" s="75">
        <v>94.7</v>
      </c>
      <c r="O27" s="75">
        <v>382.1</v>
      </c>
      <c r="P27" s="75">
        <v>225.85</v>
      </c>
      <c r="Q27" s="107">
        <f>559.968</f>
        <v>559.96799999999996</v>
      </c>
      <c r="R27" s="107">
        <v>1125.423</v>
      </c>
      <c r="S27" s="107">
        <v>1010.783</v>
      </c>
      <c r="T27" s="106">
        <v>2963.26</v>
      </c>
    </row>
    <row r="28" spans="1:20" ht="15.75" x14ac:dyDescent="0.25">
      <c r="A28" s="44" t="s">
        <v>9</v>
      </c>
      <c r="B28" s="55">
        <v>0</v>
      </c>
      <c r="C28" s="60">
        <v>0</v>
      </c>
      <c r="D28" s="60">
        <v>0</v>
      </c>
      <c r="E28" s="60">
        <v>0</v>
      </c>
      <c r="F28" s="76" t="s">
        <v>89</v>
      </c>
      <c r="G28" s="76" t="s">
        <v>89</v>
      </c>
      <c r="H28" s="76">
        <v>0</v>
      </c>
      <c r="I28" s="76"/>
      <c r="L28" s="68" t="s">
        <v>138</v>
      </c>
      <c r="M28" s="75">
        <v>195.7</v>
      </c>
      <c r="N28" s="75">
        <f>330.1</f>
        <v>330.1</v>
      </c>
      <c r="O28" s="75">
        <v>365.4</v>
      </c>
      <c r="P28" s="75">
        <v>281.10000000000002</v>
      </c>
      <c r="Q28" s="107">
        <f>279.419</f>
        <v>279.41899999999998</v>
      </c>
      <c r="R28" s="107">
        <v>10.933999999999999</v>
      </c>
      <c r="S28" s="107">
        <v>9.4610000000000003</v>
      </c>
      <c r="T28" s="106">
        <v>4047.8</v>
      </c>
    </row>
    <row r="29" spans="1:20" ht="15.75" x14ac:dyDescent="0.25">
      <c r="A29" s="44" t="s">
        <v>119</v>
      </c>
      <c r="B29" s="81">
        <v>147.19999999999999</v>
      </c>
      <c r="C29" s="81">
        <v>49.8</v>
      </c>
      <c r="D29" s="81">
        <v>5.9</v>
      </c>
      <c r="E29" s="81">
        <v>19.5</v>
      </c>
      <c r="F29" s="81">
        <f>341.5/10</f>
        <v>34.15</v>
      </c>
      <c r="G29" s="81">
        <v>-59.018999999999998</v>
      </c>
      <c r="H29" s="81">
        <v>37.264000000000003</v>
      </c>
      <c r="I29" s="81">
        <v>8.0370000000000008</v>
      </c>
      <c r="L29" s="68" t="s">
        <v>93</v>
      </c>
      <c r="M29" s="75">
        <v>5.2</v>
      </c>
      <c r="N29" s="75">
        <v>4.8</v>
      </c>
      <c r="O29" s="75">
        <v>9.5</v>
      </c>
      <c r="P29" s="75">
        <v>8.1</v>
      </c>
      <c r="Q29" s="107">
        <v>2.996</v>
      </c>
      <c r="R29" s="107">
        <v>14.78</v>
      </c>
      <c r="S29" s="107">
        <v>13.529</v>
      </c>
    </row>
    <row r="30" spans="1:20" ht="15.75" x14ac:dyDescent="0.25">
      <c r="A30" s="44" t="s">
        <v>141</v>
      </c>
      <c r="B30" s="81">
        <v>-1591.4</v>
      </c>
      <c r="C30" s="81">
        <v>-937.8</v>
      </c>
      <c r="D30" s="81">
        <v>420.9</v>
      </c>
      <c r="E30" s="81">
        <v>570.03</v>
      </c>
      <c r="F30" s="81">
        <f>F29+F26</f>
        <v>1281.0030000000002</v>
      </c>
      <c r="G30" s="81">
        <f>G29+G26</f>
        <v>1347.0959999999959</v>
      </c>
      <c r="H30" s="153">
        <f>H29+H26</f>
        <v>1707.5629999999956</v>
      </c>
      <c r="I30" s="153">
        <f>I29+I26</f>
        <v>506.97399999999823</v>
      </c>
      <c r="L30" s="68" t="s">
        <v>111</v>
      </c>
      <c r="M30" s="75">
        <v>207</v>
      </c>
      <c r="N30" s="75">
        <v>264.2</v>
      </c>
      <c r="O30" s="75">
        <v>227.5</v>
      </c>
      <c r="P30" s="75">
        <v>202.46100000000001</v>
      </c>
      <c r="Q30" s="107">
        <f>155.953</f>
        <v>155.953</v>
      </c>
      <c r="R30" s="107">
        <v>153.62899999999999</v>
      </c>
      <c r="S30" s="107">
        <v>346.01400000000001</v>
      </c>
    </row>
    <row r="31" spans="1:20" ht="15.75" x14ac:dyDescent="0.25">
      <c r="A31" s="47" t="s">
        <v>86</v>
      </c>
      <c r="B31" s="79" t="s">
        <v>89</v>
      </c>
      <c r="C31" s="79" t="s">
        <v>89</v>
      </c>
      <c r="D31" s="79" t="s">
        <v>89</v>
      </c>
      <c r="E31" s="86">
        <f>(E30/(-B30))^(1/3)-1</f>
        <v>-0.28981288871135291</v>
      </c>
      <c r="F31" s="86">
        <f>(F30/(-C30))^(1/3)-1</f>
        <v>0.10954939122682039</v>
      </c>
      <c r="G31" s="140">
        <f>+(G30/D30)^(1/3)-1</f>
        <v>0.47369136997459993</v>
      </c>
      <c r="H31" s="140">
        <f>+(H30/E30)^(1/3)-1</f>
        <v>0.44153881603317879</v>
      </c>
      <c r="I31" s="140"/>
      <c r="L31" s="68" t="s">
        <v>150</v>
      </c>
      <c r="M31" s="75">
        <v>344.3</v>
      </c>
      <c r="N31" s="75" t="s">
        <v>89</v>
      </c>
      <c r="O31" s="75" t="s">
        <v>89</v>
      </c>
      <c r="P31" s="75" t="s">
        <v>89</v>
      </c>
      <c r="Q31" s="75">
        <v>195.691</v>
      </c>
      <c r="R31" s="75" t="s">
        <v>89</v>
      </c>
      <c r="S31" s="75" t="s">
        <v>89</v>
      </c>
    </row>
    <row r="32" spans="1:20" ht="15.75" x14ac:dyDescent="0.25">
      <c r="A32" s="47" t="s">
        <v>102</v>
      </c>
      <c r="B32" s="79">
        <v>-9.89</v>
      </c>
      <c r="C32" s="79">
        <v>-2.4900000000000002</v>
      </c>
      <c r="D32" s="80">
        <v>1.45</v>
      </c>
      <c r="E32" s="80">
        <v>4.1900000000000004</v>
      </c>
      <c r="F32" s="80">
        <v>10.23</v>
      </c>
      <c r="G32" s="80">
        <v>11.54</v>
      </c>
      <c r="H32" s="80">
        <v>13.7</v>
      </c>
      <c r="I32" s="80">
        <v>4.09</v>
      </c>
      <c r="L32" s="68" t="s">
        <v>151</v>
      </c>
      <c r="M32" s="75">
        <v>3172.5</v>
      </c>
      <c r="N32" s="75" t="s">
        <v>89</v>
      </c>
      <c r="O32" s="75" t="s">
        <v>89</v>
      </c>
      <c r="P32" s="75" t="s">
        <v>89</v>
      </c>
      <c r="Q32" s="75" t="s">
        <v>89</v>
      </c>
      <c r="R32" s="75" t="s">
        <v>89</v>
      </c>
      <c r="S32" s="75" t="s">
        <v>89</v>
      </c>
    </row>
    <row r="33" spans="1:19" ht="15.75" x14ac:dyDescent="0.25">
      <c r="A33" s="51" t="s">
        <v>101</v>
      </c>
      <c r="B33" s="81">
        <v>-18.34</v>
      </c>
      <c r="C33" s="81">
        <v>-9.4700000000000006</v>
      </c>
      <c r="D33" s="81">
        <v>3.81</v>
      </c>
      <c r="E33" s="81">
        <v>4.1900000000000004</v>
      </c>
      <c r="F33" s="81">
        <v>10.23</v>
      </c>
      <c r="G33" s="81">
        <f>G32</f>
        <v>11.54</v>
      </c>
      <c r="H33" s="81">
        <v>13.7</v>
      </c>
      <c r="I33" s="81">
        <v>4.09</v>
      </c>
      <c r="L33" s="72" t="s">
        <v>108</v>
      </c>
      <c r="M33" s="38">
        <f>SUM(M34:M41)</f>
        <v>9369.2999999999993</v>
      </c>
      <c r="N33" s="38">
        <f t="shared" ref="N33:S33" si="12">SUM(N34:N40)</f>
        <v>6029.2999999999993</v>
      </c>
      <c r="O33" s="38">
        <f t="shared" si="12"/>
        <v>4081.4099999999994</v>
      </c>
      <c r="P33" s="38">
        <f t="shared" si="12"/>
        <v>4368.8579999999993</v>
      </c>
      <c r="Q33" s="146">
        <f t="shared" si="12"/>
        <v>4981.4370000000008</v>
      </c>
      <c r="R33" s="146">
        <f t="shared" si="12"/>
        <v>5256.0819999999994</v>
      </c>
      <c r="S33" s="146">
        <f t="shared" si="12"/>
        <v>7569.2290000000012</v>
      </c>
    </row>
    <row r="34" spans="1:19" ht="15.75" x14ac:dyDescent="0.25">
      <c r="A34" s="52" t="s">
        <v>0</v>
      </c>
      <c r="B34" s="82" t="s">
        <v>89</v>
      </c>
      <c r="C34" s="84">
        <f>ABS(C33/B33-1)</f>
        <v>0.48364231188658668</v>
      </c>
      <c r="D34" s="84">
        <f>ABS(D33/C33-1)</f>
        <v>1.4023231256599789</v>
      </c>
      <c r="E34" s="84">
        <f>(E33/D33-1)</f>
        <v>9.9737532808399143E-2</v>
      </c>
      <c r="F34" s="84">
        <f>(F33/E33-1)</f>
        <v>1.4415274463007157</v>
      </c>
      <c r="G34" s="84">
        <f>(G33/F33-1)</f>
        <v>0.12805474095796665</v>
      </c>
      <c r="H34" s="84">
        <f>(H33/G33-1)</f>
        <v>0.1871750433275563</v>
      </c>
      <c r="I34" s="84"/>
      <c r="L34" s="68" t="s">
        <v>122</v>
      </c>
      <c r="M34" s="75">
        <v>1645.1</v>
      </c>
      <c r="N34" s="75">
        <v>1331.1</v>
      </c>
      <c r="O34" s="75">
        <v>482.75</v>
      </c>
      <c r="P34" s="75">
        <v>349.5</v>
      </c>
      <c r="Q34" s="107">
        <f>624.444</f>
        <v>624.44399999999996</v>
      </c>
      <c r="R34" s="107">
        <v>466.23700000000002</v>
      </c>
      <c r="S34" s="107">
        <v>566.928</v>
      </c>
    </row>
    <row r="35" spans="1:19" ht="15.75" x14ac:dyDescent="0.25">
      <c r="A35" s="52" t="s">
        <v>86</v>
      </c>
      <c r="B35" s="79" t="s">
        <v>89</v>
      </c>
      <c r="C35" s="85">
        <v>3.3</v>
      </c>
      <c r="D35" s="85">
        <f>ABS(+(D33/B33)^(1/3)-1)</f>
        <v>1.5922547439691415</v>
      </c>
      <c r="E35" s="85">
        <f>ABS((E33/-B33)^(1/3)-1)</f>
        <v>0.38867583423263041</v>
      </c>
      <c r="F35" s="85">
        <f>((F33/-C33)^(1/3)-1)</f>
        <v>2.6065814032547374E-2</v>
      </c>
      <c r="G35" s="85">
        <f>((G33/D33)^(1/3)-1)</f>
        <v>0.44686144625162161</v>
      </c>
      <c r="H35" s="85">
        <f>((H33/E33)^(1/3)-1)</f>
        <v>0.48423333512953159</v>
      </c>
      <c r="I35" s="85"/>
      <c r="L35" s="68" t="s">
        <v>134</v>
      </c>
      <c r="M35" s="75">
        <v>0</v>
      </c>
      <c r="N35" s="75">
        <v>0</v>
      </c>
      <c r="O35" s="76">
        <v>55.7</v>
      </c>
      <c r="P35" s="75">
        <v>63.6</v>
      </c>
      <c r="Q35" s="107">
        <f>75.461</f>
        <v>75.460999999999999</v>
      </c>
      <c r="R35" s="107">
        <v>62.326999999999998</v>
      </c>
      <c r="S35" s="107">
        <v>52.680999999999997</v>
      </c>
    </row>
    <row r="36" spans="1:19" ht="15.75" x14ac:dyDescent="0.25">
      <c r="A36" s="3"/>
      <c r="B36" s="37"/>
      <c r="C36" s="5"/>
      <c r="D36" s="5"/>
      <c r="E36" s="5"/>
      <c r="F36" s="5"/>
      <c r="G36" s="5"/>
      <c r="H36" s="5"/>
      <c r="I36" s="5"/>
      <c r="L36" s="68" t="s">
        <v>123</v>
      </c>
      <c r="M36" s="75">
        <v>2186.5</v>
      </c>
      <c r="N36" s="75">
        <v>3186.3</v>
      </c>
      <c r="O36" s="75">
        <v>2818</v>
      </c>
      <c r="P36" s="75">
        <v>2699.4450000000002</v>
      </c>
      <c r="Q36" s="147">
        <f>(1916.89+26346.14)/10</f>
        <v>2826.3029999999999</v>
      </c>
      <c r="R36" s="28">
        <f>(2281.36+30299.82)/10</f>
        <v>3258.1179999999999</v>
      </c>
      <c r="S36" s="28">
        <f>(4365.86+41091.92)/10</f>
        <v>4545.7780000000002</v>
      </c>
    </row>
    <row r="37" spans="1:19" ht="15.75" x14ac:dyDescent="0.25">
      <c r="A37" s="3"/>
      <c r="B37" s="37"/>
      <c r="C37" s="5"/>
      <c r="D37" s="5"/>
      <c r="E37" s="5"/>
      <c r="F37" s="5"/>
      <c r="G37" s="5"/>
      <c r="H37" s="5"/>
      <c r="I37" s="5"/>
      <c r="L37" s="68" t="s">
        <v>135</v>
      </c>
      <c r="M37" s="75">
        <v>638.29999999999995</v>
      </c>
      <c r="N37" s="75">
        <v>1302.4000000000001</v>
      </c>
      <c r="O37" s="75">
        <v>508</v>
      </c>
      <c r="P37" s="75">
        <v>959.69500000000005</v>
      </c>
      <c r="Q37" s="107">
        <v>1059.194</v>
      </c>
      <c r="R37" s="107">
        <v>898.34900000000005</v>
      </c>
      <c r="S37" s="107">
        <v>1487.915</v>
      </c>
    </row>
    <row r="38" spans="1:19" ht="15.75" x14ac:dyDescent="0.25">
      <c r="A38" s="4" t="s">
        <v>11</v>
      </c>
      <c r="B38" s="37"/>
      <c r="C38" s="5"/>
      <c r="D38" s="5"/>
      <c r="E38" s="5"/>
      <c r="F38" s="5"/>
      <c r="G38" s="5"/>
      <c r="H38" s="5"/>
      <c r="I38" s="5"/>
      <c r="L38" s="68" t="s">
        <v>95</v>
      </c>
      <c r="M38" s="75">
        <v>72.099999999999994</v>
      </c>
      <c r="N38" s="75">
        <v>135</v>
      </c>
      <c r="O38" s="75">
        <v>143.69999999999999</v>
      </c>
      <c r="P38" s="75">
        <v>178.5</v>
      </c>
      <c r="Q38" s="107">
        <f>258.638</f>
        <v>258.63799999999998</v>
      </c>
      <c r="R38" s="107">
        <v>275.52499999999998</v>
      </c>
      <c r="S38" s="107">
        <v>516.86099999999999</v>
      </c>
    </row>
    <row r="39" spans="1:19" ht="15.75" x14ac:dyDescent="0.25">
      <c r="A39" s="41" t="s">
        <v>130</v>
      </c>
      <c r="B39" s="43" t="s">
        <v>48</v>
      </c>
      <c r="C39" s="57" t="s">
        <v>84</v>
      </c>
      <c r="D39" s="57" t="s">
        <v>85</v>
      </c>
      <c r="E39" s="43" t="s">
        <v>97</v>
      </c>
      <c r="F39" s="125" t="s">
        <v>157</v>
      </c>
      <c r="G39" s="43" t="s">
        <v>162</v>
      </c>
      <c r="H39" s="43" t="s">
        <v>164</v>
      </c>
      <c r="L39" s="68" t="s">
        <v>94</v>
      </c>
      <c r="M39" s="75">
        <v>44.3</v>
      </c>
      <c r="N39" s="75">
        <v>66.8</v>
      </c>
      <c r="O39" s="75">
        <v>55.95</v>
      </c>
      <c r="P39" s="75">
        <v>104.56100000000001</v>
      </c>
      <c r="Q39" s="107">
        <f>111.127</f>
        <v>111.127</v>
      </c>
      <c r="R39" s="107">
        <v>269.28199999999998</v>
      </c>
      <c r="S39" s="107">
        <v>306.904</v>
      </c>
    </row>
    <row r="40" spans="1:19" ht="15.75" x14ac:dyDescent="0.25">
      <c r="A40" s="41" t="s">
        <v>12</v>
      </c>
      <c r="B40" s="53"/>
      <c r="C40" s="58">
        <f>B45</f>
        <v>389.6</v>
      </c>
      <c r="D40" s="58">
        <f>C45</f>
        <v>94.667000000000101</v>
      </c>
      <c r="E40" s="58">
        <f>D45</f>
        <v>382.0270000000001</v>
      </c>
      <c r="F40" s="126">
        <f>E45</f>
        <v>225.85900000000001</v>
      </c>
      <c r="G40" s="58">
        <v>559.96799999999996</v>
      </c>
      <c r="H40" s="58">
        <f>G45</f>
        <v>1125.423</v>
      </c>
      <c r="L40" s="68" t="s">
        <v>124</v>
      </c>
      <c r="M40" s="75">
        <v>7.8</v>
      </c>
      <c r="N40" s="75">
        <v>7.7</v>
      </c>
      <c r="O40" s="75">
        <v>17.309999999999999</v>
      </c>
      <c r="P40" s="75">
        <v>13.557</v>
      </c>
      <c r="Q40" s="107">
        <f>26.27</f>
        <v>26.27</v>
      </c>
      <c r="R40" s="107">
        <v>26.244</v>
      </c>
      <c r="S40" s="107">
        <v>92.162000000000006</v>
      </c>
    </row>
    <row r="41" spans="1:19" ht="15.75" x14ac:dyDescent="0.25">
      <c r="A41" s="41" t="s">
        <v>125</v>
      </c>
      <c r="B41" s="54">
        <v>436.6</v>
      </c>
      <c r="C41" s="59">
        <v>1511.9</v>
      </c>
      <c r="D41" s="59">
        <v>1282.2</v>
      </c>
      <c r="E41" s="59">
        <v>1826.5</v>
      </c>
      <c r="F41" s="126">
        <v>1627.934</v>
      </c>
      <c r="G41" s="58">
        <v>2547.7730000000001</v>
      </c>
      <c r="H41" s="58">
        <v>3092.9110000000001</v>
      </c>
      <c r="L41" s="68" t="s">
        <v>152</v>
      </c>
      <c r="M41" s="75">
        <v>4775.2</v>
      </c>
      <c r="N41" s="77" t="s">
        <v>89</v>
      </c>
      <c r="O41" s="77" t="s">
        <v>89</v>
      </c>
      <c r="P41" s="94" t="s">
        <v>89</v>
      </c>
      <c r="Q41" s="94" t="s">
        <v>89</v>
      </c>
      <c r="R41" s="94" t="s">
        <v>89</v>
      </c>
      <c r="S41" s="94" t="s">
        <v>89</v>
      </c>
    </row>
    <row r="42" spans="1:19" ht="15.75" x14ac:dyDescent="0.25">
      <c r="A42" s="44" t="s">
        <v>126</v>
      </c>
      <c r="B42" s="55">
        <v>-1070.9000000000001</v>
      </c>
      <c r="C42" s="60">
        <v>-273.3</v>
      </c>
      <c r="D42" s="60">
        <v>209.8</v>
      </c>
      <c r="E42" s="60">
        <v>446.7</v>
      </c>
      <c r="F42" s="127">
        <v>-655.43700000000001</v>
      </c>
      <c r="G42" s="105">
        <v>-1293.2550000000001</v>
      </c>
      <c r="H42" s="105">
        <v>-3769.9459999999999</v>
      </c>
      <c r="L42" s="72" t="s">
        <v>139</v>
      </c>
      <c r="M42" s="38">
        <f t="shared" ref="M42:Q42" si="13">M23-M33</f>
        <v>-1255.2999999999993</v>
      </c>
      <c r="N42" s="38">
        <f t="shared" si="13"/>
        <v>-966.95999999999913</v>
      </c>
      <c r="O42" s="38">
        <f t="shared" si="13"/>
        <v>1221.4900000000002</v>
      </c>
      <c r="P42" s="38">
        <f t="shared" si="13"/>
        <v>1123.9210000000021</v>
      </c>
      <c r="Q42" s="38">
        <f t="shared" si="13"/>
        <v>1459.8739999999998</v>
      </c>
      <c r="R42" s="38">
        <f>R23-R33</f>
        <v>2173.4260000000004</v>
      </c>
      <c r="S42" s="38">
        <f>S23-S33</f>
        <v>2233.632999999998</v>
      </c>
    </row>
    <row r="43" spans="1:19" ht="15.75" x14ac:dyDescent="0.25">
      <c r="A43" s="44" t="s">
        <v>127</v>
      </c>
      <c r="B43" s="55">
        <v>565.79999999999995</v>
      </c>
      <c r="C43" s="60">
        <v>-1688.7</v>
      </c>
      <c r="D43" s="60">
        <v>700.9</v>
      </c>
      <c r="E43" s="60">
        <v>1535.9</v>
      </c>
      <c r="F43" s="127">
        <v>-638.38800000000003</v>
      </c>
      <c r="G43" s="105">
        <v>-689.06299999999999</v>
      </c>
      <c r="H43" s="105">
        <v>562.39499999999998</v>
      </c>
      <c r="L43" s="72" t="s">
        <v>136</v>
      </c>
      <c r="M43" s="38">
        <f t="shared" ref="M43:O43" si="14">SUM(M45:M50)</f>
        <v>1659</v>
      </c>
      <c r="N43" s="38">
        <f t="shared" si="14"/>
        <v>3299.0399999999995</v>
      </c>
      <c r="O43" s="38">
        <f t="shared" si="14"/>
        <v>3032.8999999999996</v>
      </c>
      <c r="P43" s="38">
        <f>SUM(P45:P50)</f>
        <v>1856.8580000000002</v>
      </c>
      <c r="Q43" s="38">
        <f>SUM(Q45:Q50)</f>
        <v>983.58500000000004</v>
      </c>
      <c r="R43" s="146">
        <f>SUM(R45:R50)</f>
        <v>647.57799999999997</v>
      </c>
      <c r="S43" s="146">
        <f>SUM(S45:S50)</f>
        <v>1764.0989999999999</v>
      </c>
    </row>
    <row r="44" spans="1:19" ht="15.75" x14ac:dyDescent="0.25">
      <c r="A44" s="41" t="s">
        <v>13</v>
      </c>
      <c r="B44" s="54">
        <f>SUM(B41:B43)</f>
        <v>-68.500000000000114</v>
      </c>
      <c r="C44" s="54">
        <f>SUM(C41:C43)</f>
        <v>-450.09999999999991</v>
      </c>
      <c r="D44" s="54">
        <v>371.5</v>
      </c>
      <c r="E44" s="54">
        <v>-156.19300000000001</v>
      </c>
      <c r="F44" s="128">
        <f>SUM(F41:F43)</f>
        <v>334.10899999999992</v>
      </c>
      <c r="G44" s="54">
        <f>SUM(G41:G43)</f>
        <v>565.45500000000004</v>
      </c>
      <c r="H44" s="54">
        <f>SUM(H41:H43)</f>
        <v>-114.63999999999987</v>
      </c>
      <c r="L44" s="68" t="s">
        <v>107</v>
      </c>
      <c r="M44" s="75">
        <f t="shared" ref="M44:P44" si="15">SUM(M45:M47)</f>
        <v>981.3</v>
      </c>
      <c r="N44" s="75">
        <f t="shared" si="15"/>
        <v>2662.2</v>
      </c>
      <c r="O44" s="75">
        <f t="shared" si="15"/>
        <v>2337.1999999999998</v>
      </c>
      <c r="P44" s="75">
        <f t="shared" si="15"/>
        <v>1170.1489999999999</v>
      </c>
      <c r="Q44" s="75">
        <f>SUM(Q45:Q47)</f>
        <v>411.47299999999996</v>
      </c>
      <c r="R44" s="75">
        <f>SUM(R45:R47)</f>
        <v>89.096000000000004</v>
      </c>
      <c r="S44" s="75">
        <f>SUM(S45:S47)</f>
        <v>1263.1209999999999</v>
      </c>
    </row>
    <row r="45" spans="1:19" ht="15.75" x14ac:dyDescent="0.25">
      <c r="A45" s="41" t="s">
        <v>35</v>
      </c>
      <c r="B45" s="38">
        <v>389.6</v>
      </c>
      <c r="C45" s="104">
        <f>SUM(C40+C44)+184.927-29.76</f>
        <v>94.667000000000101</v>
      </c>
      <c r="D45" s="104">
        <f>SUM(D40+D44)-84.14</f>
        <v>382.0270000000001</v>
      </c>
      <c r="E45" s="46">
        <f>E44+382.052</f>
        <v>225.85900000000001</v>
      </c>
      <c r="F45" s="129">
        <f>SUM(F40+F44)</f>
        <v>559.96799999999996</v>
      </c>
      <c r="G45" s="46">
        <f>G40+G44</f>
        <v>1125.423</v>
      </c>
      <c r="H45" s="154">
        <f>H40+H44</f>
        <v>1010.7830000000001</v>
      </c>
      <c r="L45" s="68" t="s">
        <v>153</v>
      </c>
      <c r="M45" s="75">
        <v>969.8</v>
      </c>
      <c r="N45" s="75">
        <v>2383</v>
      </c>
      <c r="O45" s="75">
        <v>1996.8</v>
      </c>
      <c r="P45" s="75">
        <v>931.09799999999996</v>
      </c>
      <c r="Q45" s="7">
        <f>267.581</f>
        <v>267.58100000000002</v>
      </c>
      <c r="R45" s="142" t="s">
        <v>89</v>
      </c>
      <c r="S45" s="141">
        <v>678.10299999999995</v>
      </c>
    </row>
    <row r="46" spans="1:19" ht="15.75" x14ac:dyDescent="0.25">
      <c r="A46" s="44"/>
      <c r="B46" s="61"/>
      <c r="C46" s="61"/>
      <c r="D46" s="61"/>
      <c r="E46" s="61"/>
      <c r="F46" s="103"/>
      <c r="G46" s="132"/>
      <c r="H46" s="132"/>
      <c r="L46" s="68" t="s">
        <v>134</v>
      </c>
      <c r="M46" s="75">
        <v>0</v>
      </c>
      <c r="N46" s="77">
        <v>0</v>
      </c>
      <c r="O46" s="75">
        <v>250.3</v>
      </c>
      <c r="P46" s="75">
        <v>189.98099999999999</v>
      </c>
      <c r="Q46" s="28">
        <f>135.795</f>
        <v>135.79499999999999</v>
      </c>
      <c r="R46" s="28">
        <v>80.269000000000005</v>
      </c>
      <c r="S46" s="28">
        <v>49.366999999999997</v>
      </c>
    </row>
    <row r="47" spans="1:19" ht="15.75" x14ac:dyDescent="0.25">
      <c r="A47" s="62" t="s">
        <v>14</v>
      </c>
      <c r="B47" s="63" t="s">
        <v>48</v>
      </c>
      <c r="C47" s="42" t="s">
        <v>84</v>
      </c>
      <c r="D47" s="42" t="s">
        <v>85</v>
      </c>
      <c r="E47" s="43" t="s">
        <v>97</v>
      </c>
      <c r="F47" s="125" t="s">
        <v>157</v>
      </c>
      <c r="G47" s="43" t="s">
        <v>162</v>
      </c>
      <c r="H47" s="43" t="s">
        <v>164</v>
      </c>
      <c r="L47" s="68" t="s">
        <v>154</v>
      </c>
      <c r="M47" s="75">
        <v>11.5</v>
      </c>
      <c r="N47" s="75">
        <v>279.2</v>
      </c>
      <c r="O47" s="75">
        <v>90.1</v>
      </c>
      <c r="P47" s="75">
        <v>49.07</v>
      </c>
      <c r="Q47" s="28">
        <f>8.097</f>
        <v>8.0969999999999995</v>
      </c>
      <c r="R47" s="28">
        <v>8.827</v>
      </c>
      <c r="S47" s="28">
        <v>535.65099999999995</v>
      </c>
    </row>
    <row r="48" spans="1:19" ht="15.75" x14ac:dyDescent="0.25">
      <c r="A48" s="41" t="s">
        <v>96</v>
      </c>
      <c r="B48" s="40">
        <f t="shared" ref="B48:F48" si="16">B41</f>
        <v>436.6</v>
      </c>
      <c r="C48" s="49">
        <f t="shared" si="16"/>
        <v>1511.9</v>
      </c>
      <c r="D48" s="49">
        <f t="shared" si="16"/>
        <v>1282.2</v>
      </c>
      <c r="E48" s="49">
        <f t="shared" si="16"/>
        <v>1826.5</v>
      </c>
      <c r="F48" s="130">
        <f t="shared" si="16"/>
        <v>1627.934</v>
      </c>
      <c r="G48" s="49">
        <f>G41</f>
        <v>2547.7730000000001</v>
      </c>
      <c r="H48" s="49">
        <f>H41</f>
        <v>3092.9110000000001</v>
      </c>
      <c r="L48" s="68" t="s">
        <v>94</v>
      </c>
      <c r="M48" s="75">
        <v>131.69999999999999</v>
      </c>
      <c r="N48" s="75">
        <v>116.64</v>
      </c>
      <c r="O48" s="75">
        <v>122.1</v>
      </c>
      <c r="P48" s="75">
        <v>123.54300000000001</v>
      </c>
      <c r="Q48" s="28">
        <f>148.648</f>
        <v>148.648</v>
      </c>
      <c r="R48" s="28">
        <v>190.161</v>
      </c>
      <c r="S48" s="28">
        <v>154.68199999999999</v>
      </c>
    </row>
    <row r="49" spans="1:21" ht="15.75" x14ac:dyDescent="0.25">
      <c r="A49" s="67" t="s">
        <v>15</v>
      </c>
      <c r="B49" s="56">
        <v>1087.597</v>
      </c>
      <c r="C49" s="64">
        <v>756.23</v>
      </c>
      <c r="D49" s="64">
        <v>319.98099999999999</v>
      </c>
      <c r="E49" s="64">
        <v>448.51</v>
      </c>
      <c r="F49" s="64">
        <v>842.00400000000002</v>
      </c>
      <c r="G49" s="64">
        <v>-1375.79</v>
      </c>
      <c r="H49" s="64">
        <f>-2162.678+196.561</f>
        <v>-1966.117</v>
      </c>
      <c r="L49" s="68" t="s">
        <v>133</v>
      </c>
      <c r="M49" s="75">
        <v>2.4</v>
      </c>
      <c r="N49" s="75">
        <v>1.2</v>
      </c>
      <c r="O49" s="75">
        <v>0</v>
      </c>
      <c r="P49" s="75">
        <v>0</v>
      </c>
      <c r="Q49" s="28">
        <v>12.789</v>
      </c>
      <c r="R49" s="28">
        <v>19.923999999999999</v>
      </c>
      <c r="S49" s="28">
        <v>44.828000000000003</v>
      </c>
    </row>
    <row r="50" spans="1:21" ht="15.75" x14ac:dyDescent="0.25">
      <c r="A50" s="45" t="s">
        <v>16</v>
      </c>
      <c r="B50" s="40">
        <f t="shared" ref="B50:F50" si="17">B48-B49</f>
        <v>-650.99699999999996</v>
      </c>
      <c r="C50" s="40">
        <f t="shared" si="17"/>
        <v>755.67000000000007</v>
      </c>
      <c r="D50" s="40">
        <f t="shared" si="17"/>
        <v>962.21900000000005</v>
      </c>
      <c r="E50" s="40">
        <f t="shared" si="17"/>
        <v>1377.99</v>
      </c>
      <c r="F50" s="131">
        <f t="shared" si="17"/>
        <v>785.93</v>
      </c>
      <c r="G50" s="49">
        <f>G48-G49</f>
        <v>3923.5630000000001</v>
      </c>
      <c r="H50" s="49">
        <f>H48-H49</f>
        <v>5059.0280000000002</v>
      </c>
      <c r="L50" s="68" t="s">
        <v>110</v>
      </c>
      <c r="M50" s="75">
        <v>543.6</v>
      </c>
      <c r="N50" s="75">
        <v>519</v>
      </c>
      <c r="O50" s="75">
        <v>573.6</v>
      </c>
      <c r="P50" s="75">
        <v>563.16600000000005</v>
      </c>
      <c r="Q50" s="28">
        <f>(4106.75)/10</f>
        <v>410.67500000000001</v>
      </c>
      <c r="R50" s="28">
        <f>(3483.97)/10</f>
        <v>348.39699999999999</v>
      </c>
      <c r="S50" s="28">
        <v>301.46800000000002</v>
      </c>
    </row>
    <row r="51" spans="1:21" ht="15.75" x14ac:dyDescent="0.25">
      <c r="A51" s="134"/>
      <c r="B51" s="135"/>
      <c r="C51" s="135"/>
      <c r="D51" s="135"/>
      <c r="E51" s="135"/>
      <c r="F51" s="135"/>
      <c r="G51" s="135"/>
      <c r="H51" s="135"/>
      <c r="L51" s="68" t="s">
        <v>158</v>
      </c>
      <c r="M51" s="75"/>
      <c r="N51" s="75"/>
      <c r="O51" s="75"/>
      <c r="P51" s="75"/>
      <c r="Q51" s="7">
        <v>67.2</v>
      </c>
      <c r="R51" s="142">
        <v>0</v>
      </c>
      <c r="S51" s="142">
        <v>0</v>
      </c>
    </row>
    <row r="52" spans="1:21" ht="15.75" x14ac:dyDescent="0.25">
      <c r="A52"/>
      <c r="B52"/>
      <c r="C52"/>
      <c r="D52"/>
      <c r="L52" s="72" t="s">
        <v>43</v>
      </c>
      <c r="M52" s="40">
        <f t="shared" ref="M52:P52" si="18">M23+M12</f>
        <v>16022.380000000001</v>
      </c>
      <c r="N52" s="40">
        <f t="shared" si="18"/>
        <v>13302.24</v>
      </c>
      <c r="O52" s="40">
        <f t="shared" si="18"/>
        <v>12362.6</v>
      </c>
      <c r="P52" s="40">
        <f t="shared" si="18"/>
        <v>11987.471000000001</v>
      </c>
      <c r="Q52" s="148">
        <f>Q23+Q12+Q31</f>
        <v>13075.049000000003</v>
      </c>
      <c r="R52" s="148">
        <f>R23+R12</f>
        <v>14356.380999999999</v>
      </c>
      <c r="S52" s="148">
        <f>S23+S12</f>
        <v>19493.612000000001</v>
      </c>
    </row>
    <row r="53" spans="1:21" ht="15.75" x14ac:dyDescent="0.25">
      <c r="A53"/>
      <c r="B53"/>
      <c r="C53"/>
      <c r="D53"/>
      <c r="L53" s="72" t="s">
        <v>109</v>
      </c>
      <c r="M53" s="40">
        <f>M43+M33+M6</f>
        <v>16022.4</v>
      </c>
      <c r="N53" s="40">
        <f t="shared" ref="N53:P53" si="19">N43+N33+N6</f>
        <v>13302.239999999998</v>
      </c>
      <c r="O53" s="40">
        <f t="shared" si="19"/>
        <v>12362.49</v>
      </c>
      <c r="P53" s="40">
        <f t="shared" si="19"/>
        <v>11987.539000000001</v>
      </c>
      <c r="Q53" s="148">
        <f>Q43+Q33+Q6+Q51</f>
        <v>13075.049000000003</v>
      </c>
      <c r="R53" s="148">
        <f>R43+R33+R6+R51</f>
        <v>14356.380999999999</v>
      </c>
      <c r="S53" s="148">
        <f>S43+S33+S6+S51</f>
        <v>19493.612000000001</v>
      </c>
    </row>
    <row r="54" spans="1:21" ht="15.75" x14ac:dyDescent="0.25">
      <c r="A54" s="44" t="s">
        <v>131</v>
      </c>
      <c r="B54" s="44">
        <f>94797000/1000000</f>
        <v>94.796999999999997</v>
      </c>
      <c r="C54" s="44">
        <f>94797000/1000000</f>
        <v>94.796999999999997</v>
      </c>
      <c r="D54" s="133">
        <f>121881000/1000000</f>
        <v>121.881</v>
      </c>
      <c r="E54" s="133">
        <f>121881000/1000000</f>
        <v>121.881</v>
      </c>
      <c r="F54" s="133">
        <f>121881000/1000000</f>
        <v>121.881</v>
      </c>
      <c r="G54" s="133">
        <f>121881498/1000000</f>
        <v>121.88149799999999</v>
      </c>
      <c r="H54" s="133">
        <f>121881498/1000000</f>
        <v>121.88149799999999</v>
      </c>
      <c r="L54" s="122"/>
      <c r="M54" s="123"/>
      <c r="N54" s="123"/>
      <c r="O54" s="123"/>
      <c r="P54" s="123"/>
      <c r="Q54" s="123"/>
      <c r="R54" s="123"/>
      <c r="S54" s="123"/>
      <c r="T54" s="135"/>
    </row>
    <row r="55" spans="1:21" ht="15.75" x14ac:dyDescent="0.25">
      <c r="A55" s="44" t="s">
        <v>137</v>
      </c>
      <c r="B55" s="44">
        <v>1</v>
      </c>
      <c r="C55" s="44">
        <v>1</v>
      </c>
      <c r="D55" s="44">
        <v>1</v>
      </c>
      <c r="E55" s="44">
        <v>1</v>
      </c>
      <c r="F55" s="44">
        <v>1</v>
      </c>
      <c r="G55" s="137">
        <v>1</v>
      </c>
      <c r="H55" s="137">
        <v>1</v>
      </c>
      <c r="L55" s="72"/>
      <c r="M55" s="120" t="s">
        <v>48</v>
      </c>
      <c r="N55" s="120" t="s">
        <v>84</v>
      </c>
      <c r="O55" s="121" t="s">
        <v>85</v>
      </c>
      <c r="P55" s="121" t="s">
        <v>97</v>
      </c>
      <c r="Q55" s="40" t="s">
        <v>157</v>
      </c>
      <c r="R55" s="40" t="s">
        <v>162</v>
      </c>
      <c r="S55" s="40" t="s">
        <v>164</v>
      </c>
      <c r="T55" s="40" t="s">
        <v>165</v>
      </c>
    </row>
    <row r="56" spans="1:21" ht="15.75" x14ac:dyDescent="0.25">
      <c r="A56" s="44" t="s">
        <v>36</v>
      </c>
      <c r="B56" s="56">
        <f t="shared" ref="B56:H56" si="20">B54*M56</f>
        <v>3407.9521500000001</v>
      </c>
      <c r="C56" s="56">
        <f t="shared" si="20"/>
        <v>3474.3100499999996</v>
      </c>
      <c r="D56" s="56">
        <f t="shared" si="20"/>
        <v>8592.6105000000007</v>
      </c>
      <c r="E56" s="56">
        <f t="shared" si="20"/>
        <v>15838.435949999999</v>
      </c>
      <c r="F56" s="56">
        <f t="shared" si="20"/>
        <v>25253.743199999997</v>
      </c>
      <c r="G56" s="56">
        <f t="shared" si="20"/>
        <v>47424.090871799999</v>
      </c>
      <c r="H56" s="56">
        <f t="shared" si="20"/>
        <v>54931.991148599998</v>
      </c>
      <c r="L56" s="78" t="s">
        <v>132</v>
      </c>
      <c r="M56" s="95">
        <v>35.950000000000003</v>
      </c>
      <c r="N56" s="95">
        <v>36.65</v>
      </c>
      <c r="O56" s="95">
        <v>70.5</v>
      </c>
      <c r="P56" s="95">
        <v>129.94999999999999</v>
      </c>
      <c r="Q56" s="102">
        <v>207.2</v>
      </c>
      <c r="R56" s="102">
        <v>389.1</v>
      </c>
      <c r="S56" s="151">
        <v>450.7</v>
      </c>
      <c r="T56" s="151">
        <v>458.9</v>
      </c>
    </row>
    <row r="57" spans="1:21" ht="15.75" x14ac:dyDescent="0.25">
      <c r="A57" s="44" t="s">
        <v>39</v>
      </c>
      <c r="B57" s="56">
        <f t="shared" ref="B57:F57" si="21">M8</f>
        <v>2614.8999999999996</v>
      </c>
      <c r="C57" s="56">
        <f t="shared" si="21"/>
        <v>3714.1</v>
      </c>
      <c r="D57" s="56">
        <f t="shared" si="21"/>
        <v>2479.5500000000002</v>
      </c>
      <c r="E57" s="56">
        <f t="shared" si="21"/>
        <v>1280.598</v>
      </c>
      <c r="F57" s="56">
        <f t="shared" si="21"/>
        <v>892.02499999999998</v>
      </c>
      <c r="G57" s="56">
        <f>R8</f>
        <v>466.23700000000002</v>
      </c>
      <c r="H57" s="56">
        <f>S8</f>
        <v>1245.0309999999999</v>
      </c>
      <c r="L57" s="78" t="s">
        <v>18</v>
      </c>
      <c r="M57" s="96">
        <f>B33</f>
        <v>-18.34</v>
      </c>
      <c r="N57" s="96">
        <f>C33</f>
        <v>-9.4700000000000006</v>
      </c>
      <c r="O57" s="96">
        <f>D33</f>
        <v>3.81</v>
      </c>
      <c r="P57" s="96">
        <f>E33</f>
        <v>4.1900000000000004</v>
      </c>
      <c r="Q57" s="96">
        <f>F33</f>
        <v>10.23</v>
      </c>
      <c r="R57" s="96">
        <f t="shared" ref="R57" si="22">G33</f>
        <v>11.54</v>
      </c>
      <c r="S57" s="96">
        <f>H33</f>
        <v>13.7</v>
      </c>
      <c r="T57" s="96">
        <f>13.7+4.09-3.74</f>
        <v>14.049999999999999</v>
      </c>
      <c r="U57" t="s">
        <v>163</v>
      </c>
    </row>
    <row r="58" spans="1:21" ht="15.75" x14ac:dyDescent="0.25">
      <c r="A58" s="44" t="s">
        <v>37</v>
      </c>
      <c r="B58" s="56">
        <v>585.29999999999995</v>
      </c>
      <c r="C58" s="56">
        <v>424.8</v>
      </c>
      <c r="D58" s="56">
        <v>747.5</v>
      </c>
      <c r="E58" s="56">
        <v>506.95000000000005</v>
      </c>
      <c r="F58" s="56">
        <f>SUM(Q27:Q28)</f>
        <v>839.38699999999994</v>
      </c>
      <c r="G58" s="56">
        <f>R27+R28</f>
        <v>1136.357</v>
      </c>
      <c r="H58" s="56">
        <f>S27+S28</f>
        <v>1020.244</v>
      </c>
      <c r="L58" s="97" t="s">
        <v>19</v>
      </c>
      <c r="M58" s="98">
        <f t="shared" ref="M58:S58" si="23">M6/B54</f>
        <v>52.682046900218367</v>
      </c>
      <c r="N58" s="98">
        <f t="shared" si="23"/>
        <v>41.92010295684463</v>
      </c>
      <c r="O58" s="98">
        <f t="shared" si="23"/>
        <v>43.05986987307292</v>
      </c>
      <c r="P58" s="98">
        <f t="shared" si="23"/>
        <v>47.274169066548524</v>
      </c>
      <c r="Q58" s="98">
        <f t="shared" si="23"/>
        <v>57.7844536884338</v>
      </c>
      <c r="R58" s="98">
        <f t="shared" si="23"/>
        <v>69.351961853964085</v>
      </c>
      <c r="S58" s="98">
        <f t="shared" si="23"/>
        <v>83.361988215799585</v>
      </c>
      <c r="T58" s="98" t="s">
        <v>87</v>
      </c>
    </row>
    <row r="59" spans="1:21" ht="15.75" x14ac:dyDescent="0.25">
      <c r="A59" s="44" t="s">
        <v>38</v>
      </c>
      <c r="B59" s="38">
        <f t="shared" ref="B59:F59" si="24">B56+B57-B58</f>
        <v>5437.5521499999995</v>
      </c>
      <c r="C59" s="46">
        <f t="shared" si="24"/>
        <v>6763.6100499999993</v>
      </c>
      <c r="D59" s="46">
        <f t="shared" si="24"/>
        <v>10324.660500000002</v>
      </c>
      <c r="E59" s="46">
        <f t="shared" si="24"/>
        <v>16612.083949999997</v>
      </c>
      <c r="F59" s="46">
        <f t="shared" si="24"/>
        <v>25306.3812</v>
      </c>
      <c r="G59" s="46">
        <f>G56+G57-G58</f>
        <v>46753.970871800004</v>
      </c>
      <c r="H59" s="46">
        <f>H56+H57-H58</f>
        <v>55156.778148600002</v>
      </c>
      <c r="L59" s="97" t="s">
        <v>20</v>
      </c>
      <c r="M59" s="99" t="s">
        <v>89</v>
      </c>
      <c r="N59" s="99" t="s">
        <v>89</v>
      </c>
      <c r="O59" s="99" t="s">
        <v>89</v>
      </c>
      <c r="P59" s="99" t="s">
        <v>89</v>
      </c>
      <c r="Q59" s="99" t="s">
        <v>89</v>
      </c>
      <c r="R59" s="99" t="s">
        <v>89</v>
      </c>
      <c r="S59" s="99" t="s">
        <v>89</v>
      </c>
      <c r="T59" s="99" t="s">
        <v>89</v>
      </c>
    </row>
    <row r="60" spans="1:21" ht="15.75" x14ac:dyDescent="0.25">
      <c r="A60" s="3"/>
      <c r="B60" s="37"/>
      <c r="C60" s="5"/>
      <c r="D60" s="5"/>
      <c r="E60" s="5"/>
      <c r="F60" s="5"/>
      <c r="G60" s="5"/>
      <c r="H60" s="5"/>
      <c r="L60" s="97" t="s">
        <v>21</v>
      </c>
      <c r="M60" s="98" t="s">
        <v>87</v>
      </c>
      <c r="N60" s="98" t="s">
        <v>87</v>
      </c>
      <c r="O60" s="98">
        <f t="shared" ref="O60:T60" si="25">(O56/O57)</f>
        <v>18.503937007874015</v>
      </c>
      <c r="P60" s="98">
        <f t="shared" si="25"/>
        <v>31.014319809069207</v>
      </c>
      <c r="Q60" s="98">
        <f t="shared" si="25"/>
        <v>20.254154447702835</v>
      </c>
      <c r="R60" s="98">
        <f t="shared" si="25"/>
        <v>33.717504332755638</v>
      </c>
      <c r="S60" s="98">
        <f t="shared" si="25"/>
        <v>32.897810218978101</v>
      </c>
      <c r="T60" s="98">
        <f t="shared" si="25"/>
        <v>32.661921708185055</v>
      </c>
    </row>
    <row r="61" spans="1:21" ht="15.75" x14ac:dyDescent="0.25">
      <c r="L61" s="97" t="s">
        <v>22</v>
      </c>
      <c r="M61" s="98">
        <f>M56/M58</f>
        <v>0.68239565687511261</v>
      </c>
      <c r="N61" s="98">
        <f t="shared" ref="N61:P61" si="26">N56/N58</f>
        <v>0.87428220388031896</v>
      </c>
      <c r="O61" s="98">
        <f t="shared" si="26"/>
        <v>1.6372552961217031</v>
      </c>
      <c r="P61" s="98">
        <f t="shared" si="26"/>
        <v>2.7488584689255462</v>
      </c>
      <c r="Q61" s="98">
        <f>Q56/Q58</f>
        <v>3.585739533286846</v>
      </c>
      <c r="R61" s="98">
        <f>R56/R58</f>
        <v>5.6105117951722292</v>
      </c>
      <c r="S61" s="150">
        <f>S56/S58</f>
        <v>5.4065409144665635</v>
      </c>
      <c r="T61" s="150" t="s">
        <v>87</v>
      </c>
    </row>
    <row r="62" spans="1:21" ht="15.75" x14ac:dyDescent="0.25">
      <c r="L62" s="97" t="s">
        <v>23</v>
      </c>
      <c r="M62" s="99">
        <f t="shared" ref="M62:S62" si="27">B59/B14</f>
        <v>22.580258917818561</v>
      </c>
      <c r="N62" s="99">
        <f t="shared" si="27"/>
        <v>7.9668234641425171</v>
      </c>
      <c r="O62" s="99">
        <f t="shared" si="27"/>
        <v>5.8044015394959745</v>
      </c>
      <c r="P62" s="99">
        <f t="shared" si="27"/>
        <v>9.1994920424131301</v>
      </c>
      <c r="Q62" s="124">
        <f t="shared" si="27"/>
        <v>11.076214553014553</v>
      </c>
      <c r="R62" s="124">
        <f t="shared" si="27"/>
        <v>17.122427915866648</v>
      </c>
      <c r="S62" s="124">
        <f t="shared" si="27"/>
        <v>17.627932428469457</v>
      </c>
      <c r="T62" s="150" t="s">
        <v>87</v>
      </c>
    </row>
    <row r="63" spans="1:21" ht="15.75" x14ac:dyDescent="0.25">
      <c r="L63" s="97" t="s">
        <v>24</v>
      </c>
      <c r="M63" s="91">
        <f>B26/M6</f>
        <v>-0.34813079433731797</v>
      </c>
      <c r="N63" s="108">
        <f>C26/N6</f>
        <v>-0.28590024912554424</v>
      </c>
      <c r="O63" s="108">
        <f>D26/O6</f>
        <v>7.9055977500771688E-2</v>
      </c>
      <c r="P63" s="108">
        <f>E26/P6</f>
        <v>8.8687903116774394E-2</v>
      </c>
      <c r="Q63" s="108">
        <f>F26/Q6</f>
        <v>0.17703870902976887</v>
      </c>
      <c r="R63" s="108">
        <f t="shared" ref="R63" si="28">G26/R6</f>
        <v>0.16635057515798712</v>
      </c>
      <c r="S63" s="108">
        <f>H26/S6</f>
        <v>0.16439491258315178</v>
      </c>
      <c r="T63" s="150" t="s">
        <v>87</v>
      </c>
    </row>
    <row r="64" spans="1:21" ht="15.75" x14ac:dyDescent="0.25">
      <c r="L64" s="97" t="s">
        <v>25</v>
      </c>
      <c r="M64" s="91">
        <f>(B14-B18)/M11</f>
        <v>-0.1050475869822691</v>
      </c>
      <c r="N64" s="108">
        <f>(C14-C18)/N11</f>
        <v>-2.8816132128135278E-2</v>
      </c>
      <c r="O64" s="108">
        <f>(D14-D18)/O11</f>
        <v>0.10105600765107399</v>
      </c>
      <c r="P64" s="108">
        <f>(E14-E18)/P11</f>
        <v>0.12961164978454767</v>
      </c>
      <c r="Q64" s="108">
        <f>(F14-F18)/Q11</f>
        <v>0.18603214485695629</v>
      </c>
      <c r="R64" s="108">
        <f t="shared" ref="R64" si="29">(G14-G18)/R11</f>
        <v>0.20987914792689735</v>
      </c>
      <c r="S64" s="108">
        <f>(H14-H18)/S11</f>
        <v>0.18713068843897379</v>
      </c>
      <c r="T64" s="150" t="s">
        <v>87</v>
      </c>
    </row>
    <row r="65" spans="1:20" ht="15.75" x14ac:dyDescent="0.25">
      <c r="L65" s="97" t="s">
        <v>26</v>
      </c>
      <c r="M65" s="92">
        <f t="shared" ref="M65:P65" si="30">M8/M7</f>
        <v>0.52359784545763988</v>
      </c>
      <c r="N65" s="92">
        <f t="shared" si="30"/>
        <v>0.93462341780115243</v>
      </c>
      <c r="O65" s="92">
        <f t="shared" si="30"/>
        <v>0.47245902389018668</v>
      </c>
      <c r="P65" s="92">
        <f t="shared" si="30"/>
        <v>0.22225569928128647</v>
      </c>
      <c r="Q65" s="92">
        <f>Q8/Q7</f>
        <v>0.12665723579466029</v>
      </c>
      <c r="R65" s="92">
        <f>R8/R7</f>
        <v>5.5158214733456841E-2</v>
      </c>
      <c r="S65" s="92">
        <f>S8/S7</f>
        <v>0.12253899595719962</v>
      </c>
      <c r="T65" s="150" t="s">
        <v>87</v>
      </c>
    </row>
    <row r="66" spans="1:20" ht="15.75" x14ac:dyDescent="0.25">
      <c r="L66" s="97" t="s">
        <v>27</v>
      </c>
      <c r="M66" s="69">
        <f t="shared" ref="M66:R66" si="31">(M8-SUM(M27:M28))/M6</f>
        <v>0.40639955147073537</v>
      </c>
      <c r="N66" s="92">
        <f t="shared" si="31"/>
        <v>0.82772591157301378</v>
      </c>
      <c r="O66" s="92">
        <f t="shared" si="31"/>
        <v>0.33002869566211529</v>
      </c>
      <c r="P66" s="92">
        <f t="shared" si="31"/>
        <v>0.13427139292546819</v>
      </c>
      <c r="Q66" s="92">
        <f>(Q8-SUM(Q27:Q28))/Q6</f>
        <v>7.4739873633130607E-3</v>
      </c>
      <c r="R66" s="92">
        <f t="shared" si="31"/>
        <v>-7.9278613360123915E-2</v>
      </c>
      <c r="S66" s="92">
        <f>(S8-SUM(S27:S28))/S6</f>
        <v>2.2124086295225599E-2</v>
      </c>
      <c r="T66" s="150" t="s">
        <v>87</v>
      </c>
    </row>
    <row r="67" spans="1:20" ht="15.75" x14ac:dyDescent="0.25">
      <c r="A67" s="3"/>
      <c r="B67" s="5"/>
      <c r="C67" s="5"/>
      <c r="D67" s="5"/>
      <c r="L67" s="97" t="s">
        <v>28</v>
      </c>
      <c r="M67" s="69" t="s">
        <v>89</v>
      </c>
      <c r="N67" s="69" t="s">
        <v>89</v>
      </c>
      <c r="O67" s="69" t="s">
        <v>89</v>
      </c>
      <c r="P67" s="69" t="s">
        <v>89</v>
      </c>
      <c r="Q67" s="69">
        <v>0</v>
      </c>
      <c r="R67" s="69">
        <v>0</v>
      </c>
      <c r="S67" s="69">
        <v>0</v>
      </c>
      <c r="T67" s="150" t="s">
        <v>87</v>
      </c>
    </row>
    <row r="68" spans="1:20" ht="15.75" x14ac:dyDescent="0.25">
      <c r="L68" s="97" t="s">
        <v>29</v>
      </c>
      <c r="M68" s="75">
        <f>(AVERAGE(M26,T27)/B4*365)</f>
        <v>49.416492992380377</v>
      </c>
      <c r="N68" s="75">
        <f>(AVERAGE(M26:N26)/C4*365)</f>
        <v>44.581970570064058</v>
      </c>
      <c r="O68" s="75">
        <f>(AVERAGE(N26:O26)/D4*365)</f>
        <v>49.580655506981032</v>
      </c>
      <c r="P68" s="75">
        <f>(AVERAGE(O26:P26)/E4*365)</f>
        <v>50.425098887155343</v>
      </c>
      <c r="Q68" s="75">
        <f>(AVERAGE(P26:Q26)/F4*365)</f>
        <v>47.326453425722271</v>
      </c>
      <c r="R68" s="75">
        <f>(AVERAGE(Q26:R26)/G4*365)</f>
        <v>44.666961926765616</v>
      </c>
      <c r="S68" s="75">
        <f>(AVERAGE(R26:S26)/H4)*365</f>
        <v>51.509520110980922</v>
      </c>
      <c r="T68" s="150" t="s">
        <v>87</v>
      </c>
    </row>
    <row r="69" spans="1:20" ht="15.75" x14ac:dyDescent="0.25">
      <c r="B69" s="6"/>
      <c r="C69" s="6"/>
      <c r="D69" s="6"/>
      <c r="L69" s="97" t="s">
        <v>30</v>
      </c>
      <c r="M69" s="75">
        <v>89.59</v>
      </c>
      <c r="N69" s="75">
        <f>(AVERAGE(M36,N36))/SUM(C9:C11)*365</f>
        <v>88.547463129305072</v>
      </c>
      <c r="O69" s="75">
        <f>(AVERAGE(N36,O36))/SUM(D9:D11)*365</f>
        <v>113.57400862337015</v>
      </c>
      <c r="P69" s="75">
        <f>(AVERAGE(O36,P36))/SUM(E9:E11)*365</f>
        <v>94.138348588738666</v>
      </c>
      <c r="Q69" s="75">
        <f>(AVERAGE(P36,Q36))/SUM(F9:F11)*365</f>
        <v>73.433064870998479</v>
      </c>
      <c r="R69" s="75">
        <f t="shared" ref="R69" si="32">(AVERAGE(Q36,R36))/SUM(G9:G11)*365</f>
        <v>71.398707275974758</v>
      </c>
      <c r="S69" s="75">
        <f>(AVERAGE(R36,S36))/SUM(H9:H11)*365</f>
        <v>76.540198072160692</v>
      </c>
      <c r="T69" s="150" t="s">
        <v>87</v>
      </c>
    </row>
    <row r="70" spans="1:20" ht="15.75" x14ac:dyDescent="0.25">
      <c r="L70" s="97" t="s">
        <v>31</v>
      </c>
      <c r="M70" s="69">
        <f>AVERAGE(M24,2880.6)/(SUM(B9:B11))*365</f>
        <v>67.664811851277534</v>
      </c>
      <c r="N70" s="69">
        <f t="shared" ref="N70:S70" si="33">AVERAGE(M24:N24)/(SUM(C9:C11))*365</f>
        <v>68.989825678525904</v>
      </c>
      <c r="O70" s="69">
        <f t="shared" si="33"/>
        <v>90.657946559980076</v>
      </c>
      <c r="P70" s="69">
        <f t="shared" si="33"/>
        <v>81.834723406690046</v>
      </c>
      <c r="Q70" s="69">
        <f t="shared" si="33"/>
        <v>67.529633032379678</v>
      </c>
      <c r="R70" s="69">
        <f t="shared" si="33"/>
        <v>69.462732213157267</v>
      </c>
      <c r="S70" s="69">
        <f t="shared" si="33"/>
        <v>66.977989220394505</v>
      </c>
      <c r="T70" s="150" t="s">
        <v>87</v>
      </c>
    </row>
    <row r="71" spans="1:20" ht="15.75" x14ac:dyDescent="0.25">
      <c r="L71" s="97" t="s">
        <v>41</v>
      </c>
      <c r="M71" s="69">
        <f>M68+M70-M69</f>
        <v>27.4913048436579</v>
      </c>
      <c r="N71" s="69">
        <f t="shared" ref="N71:R71" si="34">N68+N70-N69</f>
        <v>25.02433311928489</v>
      </c>
      <c r="O71" s="69">
        <f t="shared" si="34"/>
        <v>26.66459344359096</v>
      </c>
      <c r="P71" s="69">
        <f t="shared" si="34"/>
        <v>38.121473705106723</v>
      </c>
      <c r="Q71" s="69">
        <f>Q68+Q70-Q69</f>
        <v>41.423021587103463</v>
      </c>
      <c r="R71" s="69">
        <f t="shared" si="34"/>
        <v>42.730986863948132</v>
      </c>
      <c r="S71" s="69">
        <f t="shared" ref="S71" si="35">S68+S70-S69</f>
        <v>41.947311259214743</v>
      </c>
      <c r="T71" s="150" t="s">
        <v>87</v>
      </c>
    </row>
    <row r="72" spans="1:20" ht="15.75" x14ac:dyDescent="0.25">
      <c r="L72" s="97" t="s">
        <v>32</v>
      </c>
      <c r="M72" s="75" t="s">
        <v>87</v>
      </c>
      <c r="N72" s="69" t="s">
        <v>87</v>
      </c>
      <c r="O72" s="69">
        <f>(AVERAGE(N12:O12)/D4)*365</f>
        <v>197.59421646121569</v>
      </c>
      <c r="P72" s="69">
        <f>(AVERAGE(O12:P12)/E4)*365</f>
        <v>160.14064569590013</v>
      </c>
      <c r="Q72" s="69">
        <f>(AVERAGE(P12:Q12)/F4)*365</f>
        <v>120.50812964336517</v>
      </c>
      <c r="R72" s="69">
        <f t="shared" ref="R72" si="36">(AVERAGE(Q12:R12)/G4)*365</f>
        <v>107.36494865727234</v>
      </c>
      <c r="S72" s="69">
        <f>(AVERAGE(R12:S12)/H4)*365</f>
        <v>112.65986707120533</v>
      </c>
      <c r="T72" s="150" t="s">
        <v>87</v>
      </c>
    </row>
    <row r="73" spans="1:20" ht="15.75" x14ac:dyDescent="0.25">
      <c r="L73" s="100" t="s">
        <v>42</v>
      </c>
      <c r="M73" s="93">
        <f>B19/M8</f>
        <v>0.13514857164709931</v>
      </c>
      <c r="N73" s="93">
        <f>C19/N8</f>
        <v>0.11903287472065911</v>
      </c>
      <c r="O73" s="93">
        <f>D19/O8</f>
        <v>0.17370087314230404</v>
      </c>
      <c r="P73" s="93">
        <f>E19/P8</f>
        <v>0.21302547715988937</v>
      </c>
      <c r="Q73" s="93">
        <f>F19/Q8</f>
        <v>0.20495501807684763</v>
      </c>
      <c r="R73" s="93">
        <f t="shared" ref="R73" si="37">G19/R8</f>
        <v>0.39143182544499899</v>
      </c>
      <c r="S73" s="93">
        <f>H19/S8</f>
        <v>0.10574033899557522</v>
      </c>
      <c r="T73" s="150" t="s">
        <v>87</v>
      </c>
    </row>
    <row r="74" spans="1:20" ht="15.75" x14ac:dyDescent="0.25">
      <c r="L74" s="100" t="s">
        <v>161</v>
      </c>
      <c r="M74" s="69">
        <f>B4/AVERAGE(Q13,M13)</f>
        <v>4.4198596140061408</v>
      </c>
      <c r="N74" s="69">
        <f t="shared" ref="N74:S74" si="38">C4/AVERAGE(M13:N13)</f>
        <v>3.701343513216496</v>
      </c>
      <c r="O74" s="69">
        <f t="shared" si="38"/>
        <v>3.4708481320462754</v>
      </c>
      <c r="P74" s="69">
        <f t="shared" si="38"/>
        <v>4.1245627620090257</v>
      </c>
      <c r="Q74" s="69">
        <f t="shared" si="38"/>
        <v>5.085764468499554</v>
      </c>
      <c r="R74" s="69">
        <f t="shared" si="38"/>
        <v>5.3137166203114283</v>
      </c>
      <c r="S74" s="69">
        <f t="shared" si="38"/>
        <v>4.6184879180253091</v>
      </c>
      <c r="T74" s="150" t="s">
        <v>87</v>
      </c>
    </row>
    <row r="75" spans="1:20" ht="15.75" x14ac:dyDescent="0.25">
      <c r="L75" s="100" t="s">
        <v>155</v>
      </c>
      <c r="M75" s="69">
        <f>(B14-B18)/B19</f>
        <v>-1.9776174306734442</v>
      </c>
      <c r="N75" s="69">
        <f t="shared" ref="N75:R75" si="39">(C14-C18)/C19</f>
        <v>-0.47405111965618679</v>
      </c>
      <c r="O75" s="69">
        <f t="shared" si="39"/>
        <v>1.943032273043876</v>
      </c>
      <c r="P75" s="69">
        <f t="shared" si="39"/>
        <v>3.6197250733137913</v>
      </c>
      <c r="Q75" s="69">
        <f t="shared" si="39"/>
        <v>8.2355914125529885</v>
      </c>
      <c r="R75" s="69">
        <f t="shared" si="39"/>
        <v>10.465550684931484</v>
      </c>
      <c r="S75" s="69">
        <f>(H14-H18)/H19</f>
        <v>16.949624003038323</v>
      </c>
      <c r="T75" s="150" t="s">
        <v>87</v>
      </c>
    </row>
  </sheetData>
  <mergeCells count="1">
    <mergeCell ref="A1:S1"/>
  </mergeCells>
  <phoneticPr fontId="26" type="noConversion"/>
  <pageMargins left="0.25" right="0.25" top="0.75" bottom="0.75" header="0.3" footer="0.3"/>
  <pageSetup scale="24" orientation="portrait" r:id="rId1"/>
  <ignoredErrors>
    <ignoredError sqref="Q52" formula="1"/>
    <ignoredError sqref="G44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52"/>
  <sheetViews>
    <sheetView topLeftCell="A31" workbookViewId="0">
      <selection activeCell="B39" sqref="B39"/>
    </sheetView>
  </sheetViews>
  <sheetFormatPr defaultColWidth="23.7109375" defaultRowHeight="15" x14ac:dyDescent="0.25"/>
  <cols>
    <col min="1" max="1" width="26.7109375" bestFit="1" customWidth="1"/>
    <col min="2" max="2" width="16.7109375" bestFit="1" customWidth="1"/>
    <col min="3" max="3" width="13.42578125" bestFit="1" customWidth="1"/>
    <col min="4" max="4" width="11.42578125" bestFit="1" customWidth="1"/>
    <col min="5" max="5" width="14.140625" bestFit="1" customWidth="1"/>
    <col min="6" max="6" width="12.28515625" bestFit="1" customWidth="1"/>
  </cols>
  <sheetData>
    <row r="1" spans="1:6" ht="18.75" x14ac:dyDescent="0.3">
      <c r="A1" s="159" t="s">
        <v>83</v>
      </c>
      <c r="B1" s="160"/>
      <c r="C1" s="160"/>
      <c r="D1" s="160"/>
      <c r="E1" s="160"/>
      <c r="F1" s="161"/>
    </row>
    <row r="2" spans="1:6" ht="18.75" x14ac:dyDescent="0.3">
      <c r="A2" s="9"/>
      <c r="B2" s="25" t="s">
        <v>49</v>
      </c>
      <c r="C2" s="25" t="s">
        <v>50</v>
      </c>
      <c r="D2" s="25" t="s">
        <v>51</v>
      </c>
      <c r="E2" s="25" t="s">
        <v>52</v>
      </c>
      <c r="F2" s="25" t="s">
        <v>53</v>
      </c>
    </row>
    <row r="3" spans="1:6" x14ac:dyDescent="0.25">
      <c r="A3" s="156" t="s">
        <v>82</v>
      </c>
      <c r="B3" s="157"/>
      <c r="C3" s="157"/>
      <c r="D3" s="157"/>
      <c r="E3" s="157"/>
      <c r="F3" s="158"/>
    </row>
    <row r="4" spans="1:6" x14ac:dyDescent="0.25">
      <c r="A4" s="10" t="s">
        <v>44</v>
      </c>
      <c r="B4" s="11"/>
      <c r="C4" s="11"/>
      <c r="D4" s="11"/>
      <c r="E4" s="12"/>
      <c r="F4" s="13"/>
    </row>
    <row r="5" spans="1:6" x14ac:dyDescent="0.25">
      <c r="A5" s="14" t="s">
        <v>54</v>
      </c>
      <c r="B5" s="8" t="e">
        <f>#REF!</f>
        <v>#REF!</v>
      </c>
      <c r="C5" s="8" t="e">
        <f>#REF!</f>
        <v>#REF!</v>
      </c>
      <c r="D5" s="8" t="e">
        <f>#REF!</f>
        <v>#REF!</v>
      </c>
      <c r="E5" s="8" t="e">
        <f>#REF!</f>
        <v>#REF!</v>
      </c>
      <c r="F5" s="8" t="e">
        <f>#REF!</f>
        <v>#REF!</v>
      </c>
    </row>
    <row r="6" spans="1:6" x14ac:dyDescent="0.25">
      <c r="A6" s="14" t="s">
        <v>55</v>
      </c>
      <c r="B6" s="26" t="e">
        <f>#REF!</f>
        <v>#REF!</v>
      </c>
      <c r="C6" s="26" t="e">
        <f>#REF!</f>
        <v>#REF!</v>
      </c>
      <c r="D6" s="26" t="e">
        <f>#REF!</f>
        <v>#REF!</v>
      </c>
      <c r="E6" s="26" t="e">
        <f>#REF!</f>
        <v>#REF!</v>
      </c>
      <c r="F6" s="26" t="e">
        <f>#REF!</f>
        <v>#REF!</v>
      </c>
    </row>
    <row r="7" spans="1:6" x14ac:dyDescent="0.25">
      <c r="A7" s="10" t="s">
        <v>1</v>
      </c>
      <c r="B7" s="27" t="e">
        <f>#REF!</f>
        <v>#REF!</v>
      </c>
      <c r="C7" s="27" t="e">
        <f>#REF!</f>
        <v>#REF!</v>
      </c>
      <c r="D7" s="27" t="e">
        <f>#REF!</f>
        <v>#REF!</v>
      </c>
      <c r="E7" s="27" t="e">
        <f>#REF!</f>
        <v>#REF!</v>
      </c>
      <c r="F7" s="27" t="e">
        <f>#REF!</f>
        <v>#REF!</v>
      </c>
    </row>
    <row r="8" spans="1:6" x14ac:dyDescent="0.25">
      <c r="A8" s="14" t="s">
        <v>55</v>
      </c>
      <c r="B8" s="26" t="e">
        <f>#REF!</f>
        <v>#REF!</v>
      </c>
      <c r="C8" s="26" t="e">
        <f>#REF!</f>
        <v>#REF!</v>
      </c>
      <c r="D8" s="26" t="e">
        <f>#REF!</f>
        <v>#REF!</v>
      </c>
      <c r="E8" s="26" t="e">
        <f>#REF!</f>
        <v>#REF!</v>
      </c>
      <c r="F8" s="26" t="e">
        <f>#REF!</f>
        <v>#REF!</v>
      </c>
    </row>
    <row r="9" spans="1:6" x14ac:dyDescent="0.25">
      <c r="A9" s="10" t="s">
        <v>56</v>
      </c>
      <c r="B9" s="17" t="e">
        <f>B7/B5</f>
        <v>#REF!</v>
      </c>
      <c r="C9" s="17" t="e">
        <f t="shared" ref="C9:F9" si="0">C7/C5</f>
        <v>#REF!</v>
      </c>
      <c r="D9" s="18" t="e">
        <f t="shared" si="0"/>
        <v>#REF!</v>
      </c>
      <c r="E9" s="17" t="e">
        <f t="shared" si="0"/>
        <v>#REF!</v>
      </c>
      <c r="F9" s="17" t="e">
        <f t="shared" si="0"/>
        <v>#REF!</v>
      </c>
    </row>
    <row r="10" spans="1:6" x14ac:dyDescent="0.25">
      <c r="A10" s="10" t="s">
        <v>8</v>
      </c>
      <c r="B10" s="27" t="e">
        <f>#REF!</f>
        <v>#REF!</v>
      </c>
      <c r="C10" s="27" t="e">
        <f>#REF!</f>
        <v>#REF!</v>
      </c>
      <c r="D10" s="27" t="e">
        <f>#REF!</f>
        <v>#REF!</v>
      </c>
      <c r="E10" s="27" t="e">
        <f>#REF!</f>
        <v>#REF!</v>
      </c>
      <c r="F10" s="27" t="e">
        <f>#REF!</f>
        <v>#REF!</v>
      </c>
    </row>
    <row r="11" spans="1:6" x14ac:dyDescent="0.25">
      <c r="A11" s="14" t="s">
        <v>55</v>
      </c>
      <c r="B11" s="26" t="e">
        <f>#REF!</f>
        <v>#REF!</v>
      </c>
      <c r="C11" s="26" t="e">
        <f>#REF!</f>
        <v>#REF!</v>
      </c>
      <c r="D11" s="26" t="e">
        <f>#REF!</f>
        <v>#REF!</v>
      </c>
      <c r="E11" s="26" t="e">
        <f>#REF!</f>
        <v>#REF!</v>
      </c>
      <c r="F11" s="26" t="e">
        <f>#REF!</f>
        <v>#REF!</v>
      </c>
    </row>
    <row r="12" spans="1:6" x14ac:dyDescent="0.25">
      <c r="A12" s="10" t="s">
        <v>57</v>
      </c>
      <c r="B12" s="17" t="e">
        <f>B10/B5</f>
        <v>#REF!</v>
      </c>
      <c r="C12" s="17" t="e">
        <f t="shared" ref="C12:F12" si="1">C10/C5</f>
        <v>#REF!</v>
      </c>
      <c r="D12" s="18" t="e">
        <f>D10/D5</f>
        <v>#REF!</v>
      </c>
      <c r="E12" s="17" t="e">
        <f t="shared" si="1"/>
        <v>#REF!</v>
      </c>
      <c r="F12" s="17" t="e">
        <f t="shared" si="1"/>
        <v>#REF!</v>
      </c>
    </row>
    <row r="13" spans="1:6" x14ac:dyDescent="0.25">
      <c r="A13" s="14" t="s">
        <v>10</v>
      </c>
      <c r="B13" s="8" t="e">
        <f>#REF!</f>
        <v>#REF!</v>
      </c>
      <c r="C13" s="8" t="e">
        <f>#REF!</f>
        <v>#REF!</v>
      </c>
      <c r="D13" s="8" t="e">
        <f>#REF!</f>
        <v>#REF!</v>
      </c>
      <c r="E13" s="8" t="e">
        <f>#REF!</f>
        <v>#REF!</v>
      </c>
      <c r="F13" s="8" t="e">
        <f>#REF!</f>
        <v>#REF!</v>
      </c>
    </row>
    <row r="14" spans="1:6" x14ac:dyDescent="0.25">
      <c r="A14" s="19"/>
      <c r="B14" s="20"/>
      <c r="C14" s="20"/>
      <c r="D14" s="20"/>
      <c r="E14" s="20"/>
      <c r="F14" s="21"/>
    </row>
    <row r="15" spans="1:6" x14ac:dyDescent="0.25">
      <c r="A15" s="19"/>
      <c r="B15" s="20"/>
      <c r="C15" s="20"/>
      <c r="D15" s="20"/>
      <c r="E15" s="20"/>
      <c r="F15" s="21"/>
    </row>
    <row r="16" spans="1:6" x14ac:dyDescent="0.25">
      <c r="A16" s="156" t="s">
        <v>58</v>
      </c>
      <c r="B16" s="157"/>
      <c r="C16" s="157"/>
      <c r="D16" s="157"/>
      <c r="E16" s="157"/>
      <c r="F16" s="158"/>
    </row>
    <row r="17" spans="1:6" x14ac:dyDescent="0.25">
      <c r="A17" s="10" t="s">
        <v>59</v>
      </c>
      <c r="B17" s="8" t="e">
        <f>#REF!</f>
        <v>#REF!</v>
      </c>
      <c r="C17" s="8" t="e">
        <f>#REF!</f>
        <v>#REF!</v>
      </c>
      <c r="D17" s="8" t="e">
        <f>#REF!</f>
        <v>#REF!</v>
      </c>
      <c r="E17" s="8" t="e">
        <f>#REF!</f>
        <v>#REF!</v>
      </c>
      <c r="F17" s="8" t="e">
        <f>#REF!</f>
        <v>#REF!</v>
      </c>
    </row>
    <row r="18" spans="1:6" x14ac:dyDescent="0.25">
      <c r="A18" s="10" t="s">
        <v>39</v>
      </c>
      <c r="B18" s="8" t="e">
        <f>#REF!</f>
        <v>#REF!</v>
      </c>
      <c r="C18" s="8" t="e">
        <f>#REF!</f>
        <v>#REF!</v>
      </c>
      <c r="D18" s="8" t="e">
        <f>#REF!</f>
        <v>#REF!</v>
      </c>
      <c r="E18" s="8" t="e">
        <f>#REF!</f>
        <v>#REF!</v>
      </c>
      <c r="F18" s="8" t="e">
        <f>#REF!</f>
        <v>#REF!</v>
      </c>
    </row>
    <row r="19" spans="1:6" x14ac:dyDescent="0.25">
      <c r="A19" s="22" t="s">
        <v>60</v>
      </c>
      <c r="B19" s="8" t="e">
        <f>#REF!</f>
        <v>#REF!</v>
      </c>
      <c r="C19" s="8" t="e">
        <f>#REF!</f>
        <v>#REF!</v>
      </c>
      <c r="D19" s="8" t="e">
        <f>#REF!</f>
        <v>#REF!</v>
      </c>
      <c r="E19" s="8" t="e">
        <f>#REF!</f>
        <v>#REF!</v>
      </c>
      <c r="F19" s="8" t="e">
        <f>#REF!</f>
        <v>#REF!</v>
      </c>
    </row>
    <row r="20" spans="1:6" x14ac:dyDescent="0.25">
      <c r="A20" s="22" t="s">
        <v>61</v>
      </c>
      <c r="B20" s="8" t="e">
        <f>#REF!</f>
        <v>#REF!</v>
      </c>
      <c r="C20" s="8" t="e">
        <f>#REF!</f>
        <v>#REF!</v>
      </c>
      <c r="D20" s="8" t="e">
        <f>#REF!</f>
        <v>#REF!</v>
      </c>
      <c r="E20" s="8" t="e">
        <f>#REF!</f>
        <v>#REF!</v>
      </c>
      <c r="F20" s="8" t="e">
        <f>#REF!</f>
        <v>#REF!</v>
      </c>
    </row>
    <row r="21" spans="1:6" x14ac:dyDescent="0.25">
      <c r="A21" s="19"/>
      <c r="B21" s="20"/>
      <c r="C21" s="20"/>
      <c r="D21" s="20"/>
      <c r="E21" s="20"/>
      <c r="F21" s="20"/>
    </row>
    <row r="22" spans="1:6" x14ac:dyDescent="0.25">
      <c r="A22" s="19"/>
      <c r="B22" s="20"/>
      <c r="C22" s="20"/>
      <c r="D22" s="20"/>
      <c r="E22" s="20"/>
      <c r="F22" s="20"/>
    </row>
    <row r="23" spans="1:6" x14ac:dyDescent="0.25">
      <c r="A23" s="162" t="s">
        <v>11</v>
      </c>
      <c r="B23" s="162"/>
      <c r="C23" s="162"/>
      <c r="D23" s="162"/>
      <c r="E23" s="162"/>
      <c r="F23" s="162"/>
    </row>
    <row r="24" spans="1:6" x14ac:dyDescent="0.25">
      <c r="A24" s="11" t="s">
        <v>62</v>
      </c>
      <c r="B24" s="7"/>
      <c r="C24" s="15"/>
      <c r="D24" s="15"/>
      <c r="E24" s="15"/>
      <c r="F24" s="15"/>
    </row>
    <row r="25" spans="1:6" x14ac:dyDescent="0.25">
      <c r="A25" s="11" t="s">
        <v>16</v>
      </c>
      <c r="B25" s="23"/>
      <c r="C25" s="16"/>
      <c r="D25" s="16"/>
      <c r="E25" s="16"/>
      <c r="F25" s="16"/>
    </row>
    <row r="26" spans="1:6" x14ac:dyDescent="0.25">
      <c r="A26" s="7"/>
      <c r="B26" s="7"/>
      <c r="C26" s="7"/>
      <c r="D26" s="7"/>
      <c r="E26" s="7"/>
      <c r="F26" s="7"/>
    </row>
    <row r="27" spans="1:6" x14ac:dyDescent="0.25">
      <c r="A27" s="11" t="s">
        <v>36</v>
      </c>
      <c r="B27" s="23" t="e">
        <f>#REF!</f>
        <v>#REF!</v>
      </c>
      <c r="C27" s="23" t="e">
        <f>#REF!</f>
        <v>#REF!</v>
      </c>
      <c r="D27" s="23" t="e">
        <f>#REF!</f>
        <v>#REF!</v>
      </c>
      <c r="E27" s="23" t="e">
        <f>#REF!</f>
        <v>#REF!</v>
      </c>
      <c r="F27" s="23" t="e">
        <f>#REF!</f>
        <v>#REF!</v>
      </c>
    </row>
    <row r="28" spans="1:6" x14ac:dyDescent="0.25">
      <c r="A28" s="11" t="s">
        <v>63</v>
      </c>
      <c r="B28" s="8" t="e">
        <f>#REF!</f>
        <v>#REF!</v>
      </c>
      <c r="C28" s="8" t="e">
        <f>#REF!</f>
        <v>#REF!</v>
      </c>
      <c r="D28" s="8" t="e">
        <f>#REF!</f>
        <v>#REF!</v>
      </c>
      <c r="E28" s="8" t="e">
        <f>#REF!</f>
        <v>#REF!</v>
      </c>
      <c r="F28" s="8" t="e">
        <f>#REF!</f>
        <v>#REF!</v>
      </c>
    </row>
    <row r="29" spans="1:6" x14ac:dyDescent="0.25">
      <c r="A29" s="19"/>
      <c r="B29" s="20"/>
      <c r="C29" s="20"/>
      <c r="D29" s="20"/>
      <c r="E29" s="163"/>
      <c r="F29" s="164"/>
    </row>
    <row r="30" spans="1:6" x14ac:dyDescent="0.25">
      <c r="A30" s="19"/>
      <c r="B30" s="20"/>
      <c r="C30" s="20"/>
      <c r="D30" s="20"/>
      <c r="E30" s="165"/>
      <c r="F30" s="166"/>
    </row>
    <row r="31" spans="1:6" x14ac:dyDescent="0.25">
      <c r="A31" s="156" t="s">
        <v>64</v>
      </c>
      <c r="B31" s="157"/>
      <c r="C31" s="157"/>
      <c r="D31" s="157"/>
      <c r="E31" s="157"/>
      <c r="F31" s="158"/>
    </row>
    <row r="32" spans="1:6" x14ac:dyDescent="0.25">
      <c r="A32" s="14" t="s">
        <v>65</v>
      </c>
      <c r="B32" s="28" t="e">
        <f>#REF!</f>
        <v>#REF!</v>
      </c>
      <c r="C32" s="28" t="e">
        <f>#REF!</f>
        <v>#REF!</v>
      </c>
      <c r="D32" s="28" t="e">
        <f>#REF!</f>
        <v>#REF!</v>
      </c>
      <c r="E32" s="28" t="e">
        <f>#REF!</f>
        <v>#REF!</v>
      </c>
      <c r="F32" s="28" t="e">
        <f>#REF!</f>
        <v>#REF!</v>
      </c>
    </row>
    <row r="33" spans="1:6" x14ac:dyDescent="0.25">
      <c r="A33" s="14" t="s">
        <v>28</v>
      </c>
      <c r="B33" s="29" t="e">
        <f>#REF!</f>
        <v>#REF!</v>
      </c>
      <c r="C33" s="29" t="e">
        <f>#REF!</f>
        <v>#REF!</v>
      </c>
      <c r="D33" s="29" t="e">
        <f>#REF!</f>
        <v>#REF!</v>
      </c>
      <c r="E33" s="29" t="e">
        <f>#REF!</f>
        <v>#REF!</v>
      </c>
      <c r="F33" s="29" t="e">
        <f>#REF!</f>
        <v>#REF!</v>
      </c>
    </row>
    <row r="34" spans="1:6" x14ac:dyDescent="0.25">
      <c r="A34" s="14" t="s">
        <v>66</v>
      </c>
      <c r="B34" s="8" t="e">
        <f>#REF!</f>
        <v>#REF!</v>
      </c>
      <c r="C34" s="8" t="e">
        <f>#REF!</f>
        <v>#REF!</v>
      </c>
      <c r="D34" s="8" t="e">
        <f>#REF!</f>
        <v>#REF!</v>
      </c>
      <c r="E34" s="8" t="e">
        <f>#REF!</f>
        <v>#REF!</v>
      </c>
      <c r="F34" s="8" t="e">
        <f>#REF!</f>
        <v>#REF!</v>
      </c>
    </row>
    <row r="35" spans="1:6" x14ac:dyDescent="0.25">
      <c r="A35" s="14" t="s">
        <v>67</v>
      </c>
      <c r="B35" s="8" t="e">
        <f>#REF!</f>
        <v>#REF!</v>
      </c>
      <c r="C35" s="8" t="e">
        <f>#REF!</f>
        <v>#REF!</v>
      </c>
      <c r="D35" s="8" t="e">
        <f>#REF!</f>
        <v>#REF!</v>
      </c>
      <c r="E35" s="8" t="e">
        <f>#REF!</f>
        <v>#REF!</v>
      </c>
      <c r="F35" s="8" t="e">
        <f>#REF!</f>
        <v>#REF!</v>
      </c>
    </row>
    <row r="36" spans="1:6" x14ac:dyDescent="0.25">
      <c r="A36" s="19"/>
      <c r="B36" s="20"/>
      <c r="C36" s="20"/>
      <c r="D36" s="20"/>
      <c r="E36" s="20"/>
      <c r="F36" s="21"/>
    </row>
    <row r="37" spans="1:6" x14ac:dyDescent="0.25">
      <c r="A37" s="156" t="s">
        <v>68</v>
      </c>
      <c r="B37" s="157"/>
      <c r="C37" s="157"/>
      <c r="D37" s="157"/>
      <c r="E37" s="157"/>
      <c r="F37" s="158"/>
    </row>
    <row r="38" spans="1:6" x14ac:dyDescent="0.25">
      <c r="A38" s="10" t="s">
        <v>69</v>
      </c>
      <c r="B38" s="11"/>
      <c r="C38" s="11"/>
      <c r="D38" s="11"/>
      <c r="E38" s="12"/>
      <c r="F38" s="13"/>
    </row>
    <row r="39" spans="1:6" x14ac:dyDescent="0.25">
      <c r="A39" s="14" t="s">
        <v>70</v>
      </c>
      <c r="B39" s="8" t="e">
        <f>#REF!</f>
        <v>#REF!</v>
      </c>
      <c r="C39" s="8" t="e">
        <f>#REF!</f>
        <v>#REF!</v>
      </c>
      <c r="D39" s="8" t="e">
        <f>#REF!</f>
        <v>#REF!</v>
      </c>
      <c r="E39" s="8" t="e">
        <f>#REF!</f>
        <v>#REF!</v>
      </c>
      <c r="F39" s="8" t="e">
        <f>#REF!</f>
        <v>#REF!</v>
      </c>
    </row>
    <row r="40" spans="1:6" x14ac:dyDescent="0.25">
      <c r="A40" s="14" t="s">
        <v>71</v>
      </c>
      <c r="B40" s="8" t="e">
        <f>#REF!</f>
        <v>#REF!</v>
      </c>
      <c r="C40" s="8" t="e">
        <f>#REF!</f>
        <v>#REF!</v>
      </c>
      <c r="D40" s="8" t="e">
        <f>#REF!</f>
        <v>#REF!</v>
      </c>
      <c r="E40" s="8" t="e">
        <f>#REF!</f>
        <v>#REF!</v>
      </c>
      <c r="F40" s="8" t="e">
        <f>#REF!</f>
        <v>#REF!</v>
      </c>
    </row>
    <row r="41" spans="1:6" x14ac:dyDescent="0.25">
      <c r="A41" s="14" t="s">
        <v>72</v>
      </c>
      <c r="B41" s="26" t="e">
        <f>#REF!</f>
        <v>#REF!</v>
      </c>
      <c r="C41" s="26" t="e">
        <f>#REF!</f>
        <v>#REF!</v>
      </c>
      <c r="D41" s="26" t="e">
        <f>#REF!</f>
        <v>#REF!</v>
      </c>
      <c r="E41" s="26" t="e">
        <f>#REF!</f>
        <v>#REF!</v>
      </c>
      <c r="F41" s="26" t="e">
        <f>#REF!</f>
        <v>#REF!</v>
      </c>
    </row>
    <row r="42" spans="1:6" x14ac:dyDescent="0.25">
      <c r="A42" s="14" t="s">
        <v>73</v>
      </c>
      <c r="B42" s="26" t="e">
        <f>#REF!</f>
        <v>#REF!</v>
      </c>
      <c r="C42" s="26" t="e">
        <f>#REF!</f>
        <v>#REF!</v>
      </c>
      <c r="D42" s="26" t="e">
        <f>#REF!</f>
        <v>#REF!</v>
      </c>
      <c r="E42" s="26" t="e">
        <f>#REF!</f>
        <v>#REF!</v>
      </c>
      <c r="F42" s="26" t="e">
        <f>#REF!</f>
        <v>#REF!</v>
      </c>
    </row>
    <row r="43" spans="1:6" x14ac:dyDescent="0.25">
      <c r="A43" s="14" t="s">
        <v>74</v>
      </c>
      <c r="B43" s="30" t="e">
        <f>#REF!</f>
        <v>#REF!</v>
      </c>
      <c r="C43" s="30" t="e">
        <f>#REF!</f>
        <v>#REF!</v>
      </c>
      <c r="D43" s="30" t="e">
        <f>#REF!</f>
        <v>#REF!</v>
      </c>
      <c r="E43" s="30" t="e">
        <f>#REF!</f>
        <v>#REF!</v>
      </c>
      <c r="F43" s="30" t="e">
        <f>#REF!</f>
        <v>#REF!</v>
      </c>
    </row>
    <row r="44" spans="1:6" x14ac:dyDescent="0.25">
      <c r="A44" s="14" t="s">
        <v>75</v>
      </c>
      <c r="B44" s="31" t="e">
        <f>#REF!</f>
        <v>#REF!</v>
      </c>
      <c r="C44" s="31" t="e">
        <f>#REF!</f>
        <v>#REF!</v>
      </c>
      <c r="D44" s="31" t="e">
        <f>#REF!</f>
        <v>#REF!</v>
      </c>
      <c r="E44" s="31" t="e">
        <f>#REF!</f>
        <v>#REF!</v>
      </c>
      <c r="F44" s="31" t="e">
        <f>#REF!</f>
        <v>#REF!</v>
      </c>
    </row>
    <row r="45" spans="1:6" x14ac:dyDescent="0.25">
      <c r="A45" s="14" t="s">
        <v>31</v>
      </c>
      <c r="B45" s="31" t="e">
        <f>#REF!</f>
        <v>#REF!</v>
      </c>
      <c r="C45" s="31" t="e">
        <f>#REF!</f>
        <v>#REF!</v>
      </c>
      <c r="D45" s="31" t="e">
        <f>#REF!</f>
        <v>#REF!</v>
      </c>
      <c r="E45" s="31" t="e">
        <f>#REF!</f>
        <v>#REF!</v>
      </c>
      <c r="F45" s="31" t="e">
        <f>#REF!</f>
        <v>#REF!</v>
      </c>
    </row>
    <row r="46" spans="1:6" x14ac:dyDescent="0.25">
      <c r="A46" s="14" t="s">
        <v>76</v>
      </c>
      <c r="B46" s="32" t="e">
        <f>#REF!</f>
        <v>#REF!</v>
      </c>
      <c r="C46" s="32" t="e">
        <f>#REF!</f>
        <v>#REF!</v>
      </c>
      <c r="D46" s="32" t="e">
        <f>#REF!</f>
        <v>#REF!</v>
      </c>
      <c r="E46" s="32" t="e">
        <f>#REF!</f>
        <v>#REF!</v>
      </c>
      <c r="F46" s="32" t="e">
        <f>#REF!</f>
        <v>#REF!</v>
      </c>
    </row>
    <row r="47" spans="1:6" x14ac:dyDescent="0.25">
      <c r="A47" s="14" t="s">
        <v>77</v>
      </c>
      <c r="B47" s="32" t="e">
        <f>#REF!</f>
        <v>#REF!</v>
      </c>
      <c r="C47" s="32" t="e">
        <f>#REF!</f>
        <v>#REF!</v>
      </c>
      <c r="D47" s="32" t="e">
        <f>#REF!</f>
        <v>#REF!</v>
      </c>
      <c r="E47" s="32" t="e">
        <f>#REF!</f>
        <v>#REF!</v>
      </c>
      <c r="F47" s="32" t="e">
        <f>#REF!</f>
        <v>#REF!</v>
      </c>
    </row>
    <row r="48" spans="1:6" x14ac:dyDescent="0.25">
      <c r="A48" s="14" t="s">
        <v>32</v>
      </c>
      <c r="B48" s="33" t="e">
        <f>#REF!</f>
        <v>#REF!</v>
      </c>
      <c r="C48" s="33" t="e">
        <f>#REF!</f>
        <v>#REF!</v>
      </c>
      <c r="D48" s="33" t="e">
        <f>#REF!</f>
        <v>#REF!</v>
      </c>
      <c r="E48" s="33" t="e">
        <f>#REF!</f>
        <v>#REF!</v>
      </c>
      <c r="F48" s="33" t="e">
        <f>#REF!</f>
        <v>#REF!</v>
      </c>
    </row>
    <row r="49" spans="1:6" x14ac:dyDescent="0.25">
      <c r="A49" s="14" t="s">
        <v>78</v>
      </c>
      <c r="B49" s="34" t="e">
        <f>#REF!</f>
        <v>#REF!</v>
      </c>
      <c r="C49" s="34" t="e">
        <f>#REF!</f>
        <v>#REF!</v>
      </c>
      <c r="D49" s="34" t="e">
        <f>#REF!</f>
        <v>#REF!</v>
      </c>
      <c r="E49" s="34" t="e">
        <f>#REF!</f>
        <v>#REF!</v>
      </c>
      <c r="F49" s="34" t="e">
        <f>#REF!</f>
        <v>#REF!</v>
      </c>
    </row>
    <row r="50" spans="1:6" x14ac:dyDescent="0.25">
      <c r="A50" s="14" t="s">
        <v>79</v>
      </c>
      <c r="B50" s="34" t="e">
        <f>#REF!</f>
        <v>#REF!</v>
      </c>
      <c r="C50" s="34" t="e">
        <f>#REF!</f>
        <v>#REF!</v>
      </c>
      <c r="D50" s="34" t="e">
        <f>#REF!</f>
        <v>#REF!</v>
      </c>
      <c r="E50" s="34" t="e">
        <f>#REF!</f>
        <v>#REF!</v>
      </c>
      <c r="F50" s="34" t="e">
        <f>#REF!</f>
        <v>#REF!</v>
      </c>
    </row>
    <row r="51" spans="1:6" x14ac:dyDescent="0.25">
      <c r="A51" s="14" t="s">
        <v>80</v>
      </c>
      <c r="B51" s="34" t="e">
        <f>#REF!</f>
        <v>#REF!</v>
      </c>
      <c r="C51" s="34" t="e">
        <f>#REF!</f>
        <v>#REF!</v>
      </c>
      <c r="D51" s="34" t="e">
        <f>#REF!</f>
        <v>#REF!</v>
      </c>
      <c r="E51" s="34" t="e">
        <f>#REF!</f>
        <v>#REF!</v>
      </c>
      <c r="F51" s="34" t="e">
        <f>#REF!</f>
        <v>#REF!</v>
      </c>
    </row>
    <row r="52" spans="1:6" ht="15.75" thickBot="1" x14ac:dyDescent="0.3">
      <c r="A52" s="24" t="s">
        <v>81</v>
      </c>
      <c r="B52" s="35" t="e">
        <f>#REF!</f>
        <v>#REF!</v>
      </c>
      <c r="C52" s="35" t="e">
        <f>#REF!</f>
        <v>#REF!</v>
      </c>
      <c r="D52" s="35" t="e">
        <f>#REF!</f>
        <v>#REF!</v>
      </c>
      <c r="E52" s="35" t="e">
        <f>#REF!</f>
        <v>#REF!</v>
      </c>
      <c r="F52" s="35" t="e">
        <f>#REF!</f>
        <v>#REF!</v>
      </c>
    </row>
  </sheetData>
  <mergeCells count="7">
    <mergeCell ref="A37:F37"/>
    <mergeCell ref="A1:F1"/>
    <mergeCell ref="A3:F3"/>
    <mergeCell ref="A16:F16"/>
    <mergeCell ref="A23:F23"/>
    <mergeCell ref="E29:F30"/>
    <mergeCell ref="A31:F31"/>
  </mergeCells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Consol Latest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Voleram3</dc:creator>
  <cp:lastModifiedBy>Lenovo</cp:lastModifiedBy>
  <cp:lastPrinted>2024-12-02T06:43:13Z</cp:lastPrinted>
  <dcterms:created xsi:type="dcterms:W3CDTF">2017-09-19T08:05:47Z</dcterms:created>
  <dcterms:modified xsi:type="dcterms:W3CDTF">2025-08-01T06:04:23Z</dcterms:modified>
</cp:coreProperties>
</file>