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4 - Summary sheet &amp; Fact sheet\"/>
    </mc:Choice>
  </mc:AlternateContent>
  <bookViews>
    <workbookView xWindow="0" yWindow="0" windowWidth="23040" windowHeight="9192"/>
  </bookViews>
  <sheets>
    <sheet name="Consol Latest" sheetId="11" r:id="rId1"/>
    <sheet name="Sheet1" sheetId="9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11" l="1"/>
  <c r="E49" i="11" l="1"/>
  <c r="I29" i="11" l="1"/>
  <c r="I34" i="11"/>
  <c r="I64" i="11" s="1"/>
  <c r="C22" i="11"/>
  <c r="J65" i="11"/>
  <c r="B58" i="11"/>
  <c r="C58" i="11"/>
  <c r="B45" i="11"/>
  <c r="B44" i="11"/>
  <c r="L8" i="11"/>
  <c r="K8" i="11"/>
  <c r="L7" i="11"/>
  <c r="K7" i="11"/>
  <c r="J8" i="11"/>
  <c r="L20" i="11"/>
  <c r="L40" i="11"/>
  <c r="K42" i="11"/>
  <c r="K41" i="11" s="1"/>
  <c r="L41" i="11"/>
  <c r="J41" i="11"/>
  <c r="I41" i="11"/>
  <c r="L34" i="11"/>
  <c r="K34" i="11"/>
  <c r="L29" i="11"/>
  <c r="K29" i="11"/>
  <c r="K20" i="11"/>
  <c r="K13" i="11" s="1"/>
  <c r="J34" i="11"/>
  <c r="I20" i="11"/>
  <c r="E33" i="11"/>
  <c r="E35" i="11" s="1"/>
  <c r="E29" i="11"/>
  <c r="E22" i="11"/>
  <c r="D29" i="11"/>
  <c r="D22" i="11"/>
  <c r="B22" i="11"/>
  <c r="B4" i="11"/>
  <c r="B6" i="11" s="1"/>
  <c r="D33" i="11"/>
  <c r="D34" i="11" s="1"/>
  <c r="L65" i="11"/>
  <c r="K65" i="11"/>
  <c r="E6" i="11"/>
  <c r="E8" i="11" s="1"/>
  <c r="J64" i="11" l="1"/>
  <c r="K40" i="11"/>
  <c r="L52" i="11"/>
  <c r="L55" i="11" s="1"/>
  <c r="E34" i="11"/>
  <c r="E14" i="11"/>
  <c r="L9" i="11"/>
  <c r="L61" i="11" s="1"/>
  <c r="E58" i="11"/>
  <c r="E48" i="11"/>
  <c r="E50" i="11" s="1"/>
  <c r="L31" i="11"/>
  <c r="L48" i="11" s="1"/>
  <c r="L23" i="11"/>
  <c r="L13" i="11"/>
  <c r="E44" i="11"/>
  <c r="I40" i="11"/>
  <c r="J63" i="11"/>
  <c r="J66" i="11" s="1"/>
  <c r="J9" i="11"/>
  <c r="C57" i="11" s="1"/>
  <c r="K23" i="11"/>
  <c r="K9" i="11"/>
  <c r="D58" i="11"/>
  <c r="D48" i="11"/>
  <c r="D50" i="11" s="1"/>
  <c r="C44" i="11"/>
  <c r="C34" i="11"/>
  <c r="D44" i="11"/>
  <c r="J52" i="11"/>
  <c r="J55" i="11" s="1"/>
  <c r="C56" i="11"/>
  <c r="E21" i="11" l="1"/>
  <c r="E23" i="11" s="1"/>
  <c r="K64" i="11"/>
  <c r="L67" i="11"/>
  <c r="K31" i="11"/>
  <c r="K39" i="11" s="1"/>
  <c r="L64" i="11"/>
  <c r="L66" i="11" s="1"/>
  <c r="D57" i="11"/>
  <c r="K61" i="11"/>
  <c r="K60" i="11"/>
  <c r="D14" i="11"/>
  <c r="E15" i="11" s="1"/>
  <c r="K63" i="11"/>
  <c r="L60" i="11"/>
  <c r="E57" i="11"/>
  <c r="L68" i="11"/>
  <c r="L69" i="11"/>
  <c r="K68" i="11"/>
  <c r="E17" i="11"/>
  <c r="L47" i="11"/>
  <c r="L12" i="11" s="1"/>
  <c r="L59" i="11" s="1"/>
  <c r="K53" i="11"/>
  <c r="K56" i="11" s="1"/>
  <c r="K47" i="11"/>
  <c r="L39" i="11"/>
  <c r="J40" i="11"/>
  <c r="J23" i="11"/>
  <c r="C6" i="11"/>
  <c r="C7" i="11" s="1"/>
  <c r="C14" i="11"/>
  <c r="D56" i="11"/>
  <c r="D6" i="11"/>
  <c r="E7" i="11" s="1"/>
  <c r="J68" i="11"/>
  <c r="J13" i="11"/>
  <c r="K67" i="11" s="1"/>
  <c r="E24" i="11" l="1"/>
  <c r="C40" i="11"/>
  <c r="C45" i="11" s="1"/>
  <c r="D40" i="11" s="1"/>
  <c r="D45" i="11" s="1"/>
  <c r="E40" i="11" s="1"/>
  <c r="E45" i="11" s="1"/>
  <c r="J47" i="11"/>
  <c r="K66" i="11"/>
  <c r="K48" i="11"/>
  <c r="K12" i="11"/>
  <c r="K59" i="11" s="1"/>
  <c r="D59" i="11"/>
  <c r="K57" i="11" s="1"/>
  <c r="D15" i="11"/>
  <c r="K69" i="11"/>
  <c r="D21" i="11"/>
  <c r="D17" i="11"/>
  <c r="E26" i="11"/>
  <c r="D7" i="11"/>
  <c r="C48" i="11"/>
  <c r="C50" i="11" s="1"/>
  <c r="J31" i="11"/>
  <c r="I13" i="11"/>
  <c r="J67" i="11" s="1"/>
  <c r="J60" i="11"/>
  <c r="J7" i="11"/>
  <c r="E27" i="11" l="1"/>
  <c r="E54" i="11"/>
  <c r="J48" i="11"/>
  <c r="L58" i="11"/>
  <c r="D24" i="11"/>
  <c r="D23" i="11"/>
  <c r="D26" i="11"/>
  <c r="K52" i="11"/>
  <c r="K55" i="11" s="1"/>
  <c r="J12" i="11"/>
  <c r="J59" i="11" s="1"/>
  <c r="E30" i="11"/>
  <c r="J53" i="11"/>
  <c r="J56" i="11" s="1"/>
  <c r="J61" i="11"/>
  <c r="J39" i="11"/>
  <c r="C59" i="11"/>
  <c r="J57" i="11" s="1"/>
  <c r="I65" i="11"/>
  <c r="E56" i="11" l="1"/>
  <c r="E59" i="11" s="1"/>
  <c r="L57" i="11" s="1"/>
  <c r="L53" i="11"/>
  <c r="L56" i="11" s="1"/>
  <c r="D27" i="11"/>
  <c r="D30" i="11"/>
  <c r="K58" i="11"/>
  <c r="C21" i="11"/>
  <c r="J69" i="11"/>
  <c r="I52" i="11"/>
  <c r="I55" i="11" s="1"/>
  <c r="I31" i="11"/>
  <c r="I23" i="11"/>
  <c r="I8" i="11"/>
  <c r="I7" i="11"/>
  <c r="I39" i="11" l="1"/>
  <c r="C23" i="11"/>
  <c r="I9" i="11"/>
  <c r="I68" i="11" s="1"/>
  <c r="I47" i="11"/>
  <c r="I48" i="11"/>
  <c r="I60" i="11" l="1"/>
  <c r="B57" i="11"/>
  <c r="I61" i="11"/>
  <c r="I12" i="11"/>
  <c r="B14" i="11" l="1"/>
  <c r="I67" i="11"/>
  <c r="I63" i="11"/>
  <c r="I66" i="11" s="1"/>
  <c r="E16" i="11" l="1"/>
  <c r="C15" i="11"/>
  <c r="I69" i="11"/>
  <c r="B21" i="11"/>
  <c r="B24" i="11" s="1"/>
  <c r="B26" i="11" s="1"/>
  <c r="I59" i="11"/>
  <c r="B54" i="11" l="1"/>
  <c r="I58" i="11"/>
  <c r="B30" i="11"/>
  <c r="B56" i="11" l="1"/>
  <c r="I53" i="11"/>
  <c r="I56" i="11" s="1"/>
  <c r="E31" i="11"/>
  <c r="C27" i="11"/>
  <c r="J58" i="11"/>
  <c r="C30" i="11"/>
  <c r="C17" i="11"/>
  <c r="B17" i="11"/>
  <c r="B23" i="11" l="1"/>
  <c r="B48" i="11"/>
  <c r="B50" i="11" s="1"/>
  <c r="B27" i="11" l="1"/>
  <c r="B59" i="11" l="1"/>
  <c r="I57" i="11" s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</calcChain>
</file>

<file path=xl/sharedStrings.xml><?xml version="1.0" encoding="utf-8"?>
<sst xmlns="http://schemas.openxmlformats.org/spreadsheetml/2006/main" count="198" uniqueCount="155">
  <si>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</si>
  <si>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</si>
  <si>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</si>
  <si>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</si>
  <si>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</si>
  <si>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</si>
  <si>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</si>
  <si>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</si>
  <si>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</si>
  <si>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</si>
  <si>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</si>
  <si>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</si>
  <si>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</si>
  <si>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</si>
  <si>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</si>
  <si>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</si>
  <si>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</si>
  <si>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</si>
  <si>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</si>
  <si>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</si>
  <si>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</si>
  <si>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</si>
  <si>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</si>
  <si>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</si>
  <si>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</si>
  <si>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</si>
  <si>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</si>
  <si>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</si>
  <si>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</si>
  <si>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</si>
  <si>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</si>
  <si>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</si>
  <si>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</si>
  <si>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</si>
  <si>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</si>
  <si>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</si>
  <si>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</si>
  <si>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</si>
  <si>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</si>
  <si>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</si>
  <si>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</si>
  <si>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</si>
  <si>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</si>
  <si>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</si>
  <si>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</si>
  <si>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</si>
  <si>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</si>
  <si>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</si>
  <si>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</si>
  <si>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</si>
  <si>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</si>
  <si>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</si>
  <si>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</si>
  <si>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</si>
  <si>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</si>
  <si>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</si>
  <si>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</si>
  <si>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</si>
  <si>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</si>
  <si>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</si>
  <si>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</si>
  <si>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</si>
  <si>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</si>
  <si>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</si>
  <si>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</si>
  <si>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</si>
  <si>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</si>
  <si>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</si>
  <si>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</si>
  <si>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</si>
  <si>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</si>
  <si>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</si>
  <si>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</si>
  <si>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</si>
  <si>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</si>
  <si>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</si>
  <si>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</si>
  <si>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</si>
  <si>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</si>
  <si>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</si>
  <si>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</si>
  <si>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</si>
  <si>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</si>
  <si>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CAGR (%) - 3 Years</t>
  </si>
  <si>
    <t>Property, Plant and Equipments</t>
  </si>
  <si>
    <t>-</t>
  </si>
  <si>
    <t>Other Non-Current Assets</t>
  </si>
  <si>
    <t xml:space="preserve"> Trade Receivables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</si>
  <si>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</si>
  <si>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</si>
  <si>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</si>
  <si>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</si>
  <si>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</si>
  <si>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</si>
  <si>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</si>
  <si>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PAT from continuing operations</t>
  </si>
  <si>
    <t>PAT from Discountiued operations</t>
  </si>
  <si>
    <t>EPS from continuing and discontinued operations</t>
  </si>
  <si>
    <t>EPS from continuing operations</t>
  </si>
  <si>
    <t>Goodwill</t>
  </si>
  <si>
    <t>Other intangible Assets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</si>
  <si>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</si>
  <si>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</si>
  <si>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</si>
  <si>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</si>
  <si>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</si>
  <si>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</si>
  <si>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</si>
  <si>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</si>
  <si>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</si>
  <si>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</si>
  <si>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</si>
  <si>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</si>
  <si>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</si>
  <si>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</si>
  <si>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</si>
  <si>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</si>
  <si>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Intangible Assets under Development 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</si>
  <si>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</si>
  <si>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</si>
  <si>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</si>
  <si>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</si>
  <si>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</si>
  <si>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</si>
  <si>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</si>
  <si>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Balancesheet (INR. Mn)</t>
  </si>
  <si>
    <t>Y/E, Mar (INR. Mn)</t>
  </si>
  <si>
    <t>No. of Shares (INR. Mn)</t>
  </si>
  <si>
    <t>CMP(INR)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</si>
  <si>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</si>
  <si>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</si>
  <si>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</si>
  <si>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</si>
  <si>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</si>
  <si>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</si>
  <si>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</si>
  <si>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</si>
  <si>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</si>
  <si>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</si>
  <si>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</si>
  <si>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>Total Fund</t>
  </si>
  <si>
    <t xml:space="preserve"> Long-term Debt</t>
  </si>
  <si>
    <t>Short term debt</t>
  </si>
  <si>
    <t xml:space="preserve">Total Capital Employed (Assets) </t>
  </si>
  <si>
    <t xml:space="preserve"> -</t>
  </si>
  <si>
    <t>Borrowings</t>
  </si>
  <si>
    <t>Interest coverage Ratio</t>
  </si>
  <si>
    <t xml:space="preserve"> FY23</t>
  </si>
  <si>
    <t>FY23</t>
  </si>
  <si>
    <t>Cost of material consumed</t>
  </si>
  <si>
    <t>FY24</t>
  </si>
  <si>
    <t>TTM</t>
  </si>
  <si>
    <t>FY25</t>
  </si>
  <si>
    <t>Remus Pharmaceuticals Summary Sheet</t>
  </si>
  <si>
    <t>Non Controlling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</si>
</sst>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9" fillId="6" borderId="8" xfId="0" applyFont="1" applyFill="1" applyBorder="1" applyAlignment="1">
      <alignment horizontal="center" wrapText="1"/>
    </xf>
    <xf numFmtId="0" fontId="8" fillId="4" borderId="8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1" xfId="0" applyFill="1" applyBorder="1"/>
    <xf numFmtId="0" fontId="0" fillId="4" borderId="8" xfId="0" applyFill="1" applyBorder="1"/>
    <xf numFmtId="2" fontId="0" fillId="4" borderId="1" xfId="0" applyNumberFormat="1" applyFill="1" applyBorder="1"/>
    <xf numFmtId="2" fontId="8" fillId="4" borderId="1" xfId="0" applyNumberFormat="1" applyFont="1" applyFill="1" applyBorder="1"/>
    <xf numFmtId="10" fontId="8" fillId="0" borderId="1" xfId="1" applyNumberFormat="1" applyFont="1" applyFill="1" applyBorder="1"/>
    <xf numFmtId="10" fontId="8" fillId="0" borderId="1" xfId="1" applyNumberFormat="1" applyFont="1" applyFill="1" applyBorder="1" applyAlignment="1">
      <alignment horizontal="right"/>
    </xf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0" fillId="4" borderId="8" xfId="0" applyFill="1" applyBorder="1" applyAlignment="1">
      <alignment horizontal="right"/>
    </xf>
    <xf numFmtId="2" fontId="8" fillId="0" borderId="1" xfId="0" applyNumberFormat="1" applyFont="1" applyBorder="1"/>
    <xf numFmtId="0" fontId="0" fillId="4" borderId="17" xfId="0" applyFill="1" applyBorder="1"/>
    <xf numFmtId="0" fontId="8" fillId="0" borderId="1" xfId="0" applyFont="1" applyBorder="1"/>
    <xf numFmtId="10" fontId="0" fillId="0" borderId="1" xfId="1" applyNumberFormat="1" applyFont="1" applyFill="1" applyBorder="1"/>
    <xf numFmtId="4" fontId="8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3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5" fillId="0" borderId="0" xfId="0" applyFont="1" applyAlignment="1">
      <alignment horizontal="center"/>
    </xf>
    <xf numFmtId="166" fontId="12" fillId="3" borderId="1" xfId="2" applyNumberFormat="1" applyFont="1" applyFill="1" applyBorder="1" applyAlignment="1">
      <alignment horizontal="right"/>
    </xf>
    <xf numFmtId="166" fontId="13" fillId="3" borderId="1" xfId="2" applyNumberFormat="1" applyFont="1" applyFill="1" applyBorder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4" fillId="0" borderId="1" xfId="0" applyFont="1" applyBorder="1"/>
    <xf numFmtId="0" fontId="12" fillId="3" borderId="1" xfId="0" applyFont="1" applyFill="1" applyBorder="1"/>
    <xf numFmtId="166" fontId="12" fillId="3" borderId="1" xfId="2" applyNumberFormat="1" applyFont="1" applyFill="1" applyBorder="1"/>
    <xf numFmtId="0" fontId="15" fillId="3" borderId="1" xfId="0" applyFont="1" applyFill="1" applyBorder="1"/>
    <xf numFmtId="166" fontId="13" fillId="3" borderId="1" xfId="2" applyNumberFormat="1" applyFont="1" applyFill="1" applyBorder="1"/>
    <xf numFmtId="0" fontId="17" fillId="3" borderId="1" xfId="0" applyFont="1" applyFill="1" applyBorder="1"/>
    <xf numFmtId="0" fontId="12" fillId="0" borderId="1" xfId="0" applyFont="1" applyBorder="1" applyAlignment="1">
      <alignment wrapText="1"/>
    </xf>
    <xf numFmtId="0" fontId="14" fillId="3" borderId="1" xfId="0" applyFont="1" applyFill="1" applyBorder="1"/>
    <xf numFmtId="166" fontId="16" fillId="3" borderId="1" xfId="2" applyNumberFormat="1" applyFont="1" applyFill="1" applyBorder="1" applyAlignment="1">
      <alignment horizontal="right"/>
    </xf>
    <xf numFmtId="166" fontId="12" fillId="0" borderId="1" xfId="2" applyNumberFormat="1" applyFont="1" applyFill="1" applyBorder="1"/>
    <xf numFmtId="0" fontId="18" fillId="0" borderId="1" xfId="0" applyFont="1" applyBorder="1" applyAlignment="1">
      <alignment horizontal="right"/>
    </xf>
    <xf numFmtId="0" fontId="12" fillId="2" borderId="1" xfId="0" applyFont="1" applyFill="1" applyBorder="1"/>
    <xf numFmtId="166" fontId="16" fillId="3" borderId="1" xfId="2" applyNumberFormat="1" applyFont="1" applyFill="1" applyBorder="1"/>
    <xf numFmtId="43" fontId="0" fillId="0" borderId="0" xfId="0" applyNumberFormat="1"/>
    <xf numFmtId="0" fontId="16" fillId="3" borderId="1" xfId="0" applyFont="1" applyFill="1" applyBorder="1"/>
    <xf numFmtId="166" fontId="1" fillId="4" borderId="1" xfId="2" applyNumberFormat="1" applyFont="1" applyFill="1" applyBorder="1" applyAlignment="1">
      <alignment horizontal="left"/>
    </xf>
    <xf numFmtId="166" fontId="16" fillId="4" borderId="1" xfId="2" applyNumberFormat="1" applyFont="1" applyFill="1" applyBorder="1" applyAlignment="1">
      <alignment horizontal="right"/>
    </xf>
    <xf numFmtId="166" fontId="12" fillId="3" borderId="1" xfId="2" applyNumberFormat="1" applyFont="1" applyFill="1" applyBorder="1" applyAlignment="1">
      <alignment horizontal="left"/>
    </xf>
    <xf numFmtId="166" fontId="12" fillId="4" borderId="1" xfId="2" applyNumberFormat="1" applyFont="1" applyFill="1" applyBorder="1" applyAlignment="1">
      <alignment horizontal="left"/>
    </xf>
    <xf numFmtId="166" fontId="10" fillId="7" borderId="1" xfId="0" applyNumberFormat="1" applyFont="1" applyFill="1" applyBorder="1" applyAlignment="1">
      <alignment horizontal="left"/>
    </xf>
    <xf numFmtId="166" fontId="15" fillId="3" borderId="1" xfId="2" applyNumberFormat="1" applyFont="1" applyFill="1" applyBorder="1"/>
    <xf numFmtId="9" fontId="14" fillId="3" borderId="1" xfId="2" applyNumberFormat="1" applyFont="1" applyFill="1" applyBorder="1"/>
    <xf numFmtId="9" fontId="15" fillId="3" borderId="1" xfId="2" applyNumberFormat="1" applyFont="1" applyFill="1" applyBorder="1"/>
    <xf numFmtId="164" fontId="1" fillId="0" borderId="1" xfId="0" applyNumberFormat="1" applyFont="1" applyBorder="1"/>
    <xf numFmtId="166" fontId="10" fillId="7" borderId="1" xfId="0" applyNumberFormat="1" applyFont="1" applyFill="1" applyBorder="1" applyAlignment="1">
      <alignment horizontal="right"/>
    </xf>
    <xf numFmtId="43" fontId="11" fillId="7" borderId="1" xfId="0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left"/>
    </xf>
    <xf numFmtId="166" fontId="16" fillId="8" borderId="1" xfId="0" applyNumberFormat="1" applyFont="1" applyFill="1" applyBorder="1" applyAlignment="1">
      <alignment horizontal="left"/>
    </xf>
    <xf numFmtId="0" fontId="8" fillId="3" borderId="1" xfId="0" applyFont="1" applyFill="1" applyBorder="1"/>
    <xf numFmtId="0" fontId="19" fillId="0" borderId="0" xfId="0" applyFont="1" applyAlignment="1">
      <alignment horizontal="right"/>
    </xf>
    <xf numFmtId="165" fontId="21" fillId="3" borderId="1" xfId="1" applyNumberFormat="1" applyFont="1" applyFill="1" applyBorder="1"/>
    <xf numFmtId="166" fontId="13" fillId="3" borderId="1" xfId="2" applyNumberFormat="1" applyFont="1" applyFill="1" applyBorder="1" applyAlignment="1">
      <alignment horizontal="right" vertical="center" wrapText="1" readingOrder="1"/>
    </xf>
    <xf numFmtId="9" fontId="21" fillId="3" borderId="1" xfId="1" applyFont="1" applyFill="1" applyBorder="1"/>
    <xf numFmtId="165" fontId="13" fillId="3" borderId="1" xfId="1" applyNumberFormat="1" applyFont="1" applyFill="1" applyBorder="1"/>
    <xf numFmtId="10" fontId="13" fillId="3" borderId="1" xfId="1" applyNumberFormat="1" applyFont="1" applyFill="1" applyBorder="1"/>
    <xf numFmtId="10" fontId="22" fillId="3" borderId="1" xfId="2" applyNumberFormat="1" applyFont="1" applyFill="1" applyBorder="1" applyAlignment="1">
      <alignment horizontal="right"/>
    </xf>
    <xf numFmtId="43" fontId="0" fillId="0" borderId="0" xfId="2" applyFont="1"/>
    <xf numFmtId="0" fontId="12" fillId="3" borderId="1" xfId="0" applyFont="1" applyFill="1" applyBorder="1" applyAlignment="1">
      <alignment horizontal="right"/>
    </xf>
    <xf numFmtId="166" fontId="12" fillId="0" borderId="1" xfId="2" applyNumberFormat="1" applyFont="1" applyFill="1" applyBorder="1" applyAlignment="1">
      <alignment horizontal="left"/>
    </xf>
    <xf numFmtId="166" fontId="13" fillId="0" borderId="1" xfId="2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166" fontId="12" fillId="0" borderId="2" xfId="2" applyNumberFormat="1" applyFont="1" applyFill="1" applyBorder="1"/>
    <xf numFmtId="166" fontId="12" fillId="3" borderId="2" xfId="2" applyNumberFormat="1" applyFont="1" applyFill="1" applyBorder="1"/>
    <xf numFmtId="166" fontId="13" fillId="3" borderId="2" xfId="2" applyNumberFormat="1" applyFont="1" applyFill="1" applyBorder="1"/>
    <xf numFmtId="166" fontId="13" fillId="3" borderId="2" xfId="2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164" fontId="14" fillId="0" borderId="1" xfId="0" applyNumberFormat="1" applyFont="1" applyBorder="1"/>
    <xf numFmtId="0" fontId="12" fillId="0" borderId="0" xfId="0" applyFont="1"/>
    <xf numFmtId="166" fontId="13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66" fontId="21" fillId="3" borderId="1" xfId="2" applyNumberFormat="1" applyFont="1" applyFill="1" applyBorder="1" applyAlignment="1">
      <alignment horizontal="right"/>
    </xf>
    <xf numFmtId="10" fontId="15" fillId="3" borderId="1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9" fontId="13" fillId="3" borderId="1" xfId="1" applyFont="1" applyFill="1" applyBorder="1"/>
    <xf numFmtId="10" fontId="13" fillId="3" borderId="1" xfId="2" applyNumberFormat="1" applyFont="1" applyFill="1" applyBorder="1" applyAlignment="1">
      <alignment horizontal="right"/>
    </xf>
    <xf numFmtId="164" fontId="20" fillId="0" borderId="19" xfId="0" applyNumberFormat="1" applyFont="1" applyBorder="1"/>
    <xf numFmtId="43" fontId="21" fillId="3" borderId="1" xfId="2" applyFont="1" applyFill="1" applyBorder="1"/>
    <xf numFmtId="43" fontId="15" fillId="3" borderId="1" xfId="2" applyFont="1" applyFill="1" applyBorder="1"/>
    <xf numFmtId="43" fontId="14" fillId="3" borderId="1" xfId="2" applyFont="1" applyFill="1" applyBorder="1"/>
    <xf numFmtId="43" fontId="15" fillId="3" borderId="1" xfId="2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8" fillId="4" borderId="9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6" fontId="16" fillId="4" borderId="1" xfId="2" applyNumberFormat="1" applyFont="1" applyFill="1" applyBorder="1"/>
    <xf numFmtId="166" fontId="16" fillId="4" borderId="1" xfId="2" applyNumberFormat="1" applyFont="1" applyFill="1" applyBorder="1" applyAlignment="1"/>
    <xf numFmtId="164" fontId="0" fillId="4" borderId="1" xfId="0" applyNumberFormat="1" applyFill="1" applyBorder="1"/>
    <xf numFmtId="166" fontId="16" fillId="4" borderId="1" xfId="2" applyNumberFormat="1" applyFont="1" applyFill="1" applyBorder="1" applyAlignment="1">
      <alignment horizontal="right" vertical="center" wrapText="1" readingOrder="1"/>
    </xf>
    <xf numFmtId="166" fontId="14" fillId="4" borderId="1" xfId="2" applyNumberFormat="1" applyFont="1" applyFill="1" applyBorder="1"/>
    <xf numFmtId="166" fontId="1" fillId="4" borderId="1" xfId="2" applyNumberFormat="1" applyFont="1" applyFill="1" applyBorder="1" applyAlignment="1">
      <alignment horizontal="right"/>
    </xf>
    <xf numFmtId="166" fontId="11" fillId="4" borderId="1" xfId="2" applyNumberFormat="1" applyFont="1" applyFill="1" applyBorder="1" applyAlignment="1">
      <alignment horizontal="right" vertical="center" wrapText="1" readingOrder="1"/>
    </xf>
    <xf numFmtId="166" fontId="12" fillId="4" borderId="1" xfId="2" applyNumberFormat="1" applyFont="1" applyFill="1" applyBorder="1"/>
    <xf numFmtId="166" fontId="12" fillId="4" borderId="2" xfId="2" applyNumberFormat="1" applyFont="1" applyFill="1" applyBorder="1"/>
    <xf numFmtId="166" fontId="1" fillId="4" borderId="2" xfId="2" applyNumberFormat="1" applyFont="1" applyFill="1" applyBorder="1"/>
    <xf numFmtId="166" fontId="1" fillId="4" borderId="1" xfId="2" applyNumberFormat="1" applyFont="1" applyFill="1" applyBorder="1"/>
    <xf numFmtId="166" fontId="12" fillId="4" borderId="2" xfId="2" applyNumberFormat="1" applyFont="1" applyFill="1" applyBorder="1" applyAlignment="1">
      <alignment horizontal="right"/>
    </xf>
    <xf numFmtId="166" fontId="12" fillId="4" borderId="1" xfId="2" applyNumberFormat="1" applyFont="1" applyFill="1" applyBorder="1" applyAlignment="1">
      <alignment horizontal="right"/>
    </xf>
    <xf numFmtId="164" fontId="1" fillId="4" borderId="1" xfId="0" applyNumberFormat="1" applyFont="1" applyFill="1" applyBorder="1"/>
    <xf numFmtId="166" fontId="20" fillId="4" borderId="1" xfId="0" applyNumberFormat="1" applyFont="1" applyFill="1" applyBorder="1"/>
    <xf numFmtId="164" fontId="20" fillId="4" borderId="1" xfId="0" applyNumberFormat="1" applyFont="1" applyFill="1" applyBorder="1"/>
    <xf numFmtId="0" fontId="0" fillId="4" borderId="1" xfId="0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right"/>
    </xf>
    <xf numFmtId="166" fontId="16" fillId="4" borderId="1" xfId="0" applyNumberFormat="1" applyFont="1" applyFill="1" applyBorder="1" applyAlignment="1">
      <alignment horizontal="right"/>
    </xf>
    <xf numFmtId="166" fontId="16" fillId="8" borderId="1" xfId="0" applyNumberFormat="1" applyFont="1" applyFill="1" applyBorder="1" applyAlignment="1">
      <alignment horizontal="right"/>
    </xf>
    <xf numFmtId="164" fontId="11" fillId="8" borderId="1" xfId="0" applyNumberFormat="1" applyFont="1" applyFill="1" applyBorder="1" applyAlignment="1">
      <alignment horizontal="right"/>
    </xf>
    <xf numFmtId="10" fontId="16" fillId="4" borderId="1" xfId="2" applyNumberFormat="1" applyFont="1" applyFill="1" applyBorder="1" applyAlignment="1">
      <alignment horizontal="right"/>
    </xf>
    <xf numFmtId="43" fontId="16" fillId="4" borderId="1" xfId="2" applyFont="1" applyFill="1" applyBorder="1" applyAlignment="1">
      <alignment horizontal="right"/>
    </xf>
    <xf numFmtId="165" fontId="16" fillId="4" borderId="1" xfId="2" applyNumberFormat="1" applyFont="1" applyFill="1" applyBorder="1" applyAlignment="1">
      <alignment horizontal="right"/>
    </xf>
    <xf numFmtId="43" fontId="8" fillId="3" borderId="1" xfId="2" applyFont="1" applyFill="1" applyBorder="1"/>
  </cellXfs>
  <cellStyles count="4">
    <cellStyle name="Comma" xfId="2" builtinId="3"/>
    <cellStyle name="Comma 2" xf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topLeftCell="C1" zoomScale="80" zoomScaleNormal="80" workbookViewId="0">
      <pane ySplit="3" topLeftCell="A4" activePane="bottomLeft" state="frozen"/>
      <selection pane="bottomLeft" activeCell="M71" sqref="M71"/>
    </sheetView>
  </sheetViews>
  <sheetFormatPr defaultColWidth="8.6640625" defaultRowHeight="14.4" x14ac:dyDescent="0.3"/>
  <cols>
    <col min="1" max="1" width="69.44140625" style="1" customWidth="1"/>
    <col min="2" max="2" width="17.44140625" customWidth="1"/>
    <col min="3" max="3" width="15.6640625" bestFit="1" customWidth="1"/>
    <col min="4" max="4" width="17.33203125" bestFit="1" customWidth="1"/>
    <col min="5" max="5" width="16.6640625" bestFit="1" customWidth="1"/>
    <col min="6" max="6" width="16.33203125" bestFit="1" customWidth="1"/>
    <col min="8" max="8" width="63" style="1" customWidth="1"/>
    <col min="9" max="9" width="18.33203125" style="1" customWidth="1"/>
    <col min="10" max="11" width="16.44140625" style="1" customWidth="1"/>
    <col min="12" max="12" width="13.6640625" bestFit="1" customWidth="1"/>
    <col min="13" max="13" width="17.33203125" bestFit="1" customWidth="1"/>
    <col min="14" max="15" width="16.6640625" bestFit="1" customWidth="1"/>
    <col min="16" max="16" width="15.109375" customWidth="1"/>
    <col min="19" max="19" width="11.109375" bestFit="1" customWidth="1"/>
  </cols>
  <sheetData>
    <row r="1" spans="1:15" x14ac:dyDescent="0.3">
      <c r="A1" s="99" t="s">
        <v>153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x14ac:dyDescent="0.3">
      <c r="A2"/>
      <c r="H2"/>
      <c r="I2"/>
      <c r="J2" s="34"/>
    </row>
    <row r="3" spans="1:15" ht="15.6" x14ac:dyDescent="0.3">
      <c r="A3" s="37" t="s">
        <v>94</v>
      </c>
      <c r="B3" s="38" t="s">
        <v>93</v>
      </c>
      <c r="C3" s="38" t="s">
        <v>147</v>
      </c>
      <c r="D3" s="38" t="s">
        <v>150</v>
      </c>
      <c r="E3" s="38" t="s">
        <v>152</v>
      </c>
      <c r="H3" s="37" t="s">
        <v>125</v>
      </c>
      <c r="I3" s="38" t="s">
        <v>93</v>
      </c>
      <c r="J3" s="38" t="s">
        <v>148</v>
      </c>
      <c r="K3" s="38" t="s">
        <v>150</v>
      </c>
      <c r="L3" s="38" t="s">
        <v>152</v>
      </c>
    </row>
    <row r="4" spans="1:15" ht="15.6" x14ac:dyDescent="0.3">
      <c r="A4" s="37" t="s">
        <v>112</v>
      </c>
      <c r="B4" s="111">
        <f>247.171</f>
        <v>247.17099999999999</v>
      </c>
      <c r="C4" s="111">
        <v>450.27300000000002</v>
      </c>
      <c r="D4" s="111">
        <v>2129.4</v>
      </c>
      <c r="E4" s="111">
        <v>6203.6</v>
      </c>
      <c r="H4" s="54" t="s">
        <v>138</v>
      </c>
      <c r="I4" s="55">
        <v>10</v>
      </c>
      <c r="J4" s="55">
        <v>10.85</v>
      </c>
      <c r="K4" s="55">
        <v>14.7</v>
      </c>
      <c r="L4" s="55">
        <v>58.9</v>
      </c>
    </row>
    <row r="5" spans="1:15" ht="15.6" x14ac:dyDescent="0.3">
      <c r="A5" s="39" t="s">
        <v>3</v>
      </c>
      <c r="B5" s="111">
        <v>7.2009999999999996</v>
      </c>
      <c r="C5" s="111">
        <v>15.773</v>
      </c>
      <c r="D5" s="111">
        <v>28.3</v>
      </c>
      <c r="E5" s="111">
        <v>49.8</v>
      </c>
      <c r="H5" s="54" t="s">
        <v>139</v>
      </c>
      <c r="I5" s="117">
        <v>55.777999999999999</v>
      </c>
      <c r="J5" s="124">
        <v>180.505</v>
      </c>
      <c r="K5" s="62">
        <v>1562.2</v>
      </c>
      <c r="L5" s="62">
        <v>2499.6999999999998</v>
      </c>
    </row>
    <row r="6" spans="1:15" ht="15.6" x14ac:dyDescent="0.3">
      <c r="A6" s="40" t="s">
        <v>111</v>
      </c>
      <c r="B6" s="43">
        <f>B4+B5</f>
        <v>254.37199999999999</v>
      </c>
      <c r="C6" s="43">
        <f>C4+C5</f>
        <v>466.04600000000005</v>
      </c>
      <c r="D6" s="43">
        <f>D4+D5</f>
        <v>2157.7000000000003</v>
      </c>
      <c r="E6" s="43">
        <f>E4+E5</f>
        <v>6253.4000000000005</v>
      </c>
      <c r="H6" s="54" t="s">
        <v>154</v>
      </c>
      <c r="I6" s="117">
        <v>0</v>
      </c>
      <c r="J6" s="124"/>
      <c r="K6" s="62">
        <v>175.2</v>
      </c>
      <c r="L6" s="62">
        <v>266.89999999999998</v>
      </c>
      <c r="M6" s="52"/>
    </row>
    <row r="7" spans="1:15" ht="15.6" x14ac:dyDescent="0.3">
      <c r="A7" s="42" t="s">
        <v>0</v>
      </c>
      <c r="B7" s="95">
        <v>0</v>
      </c>
      <c r="C7" s="69">
        <f>(C6/B6-1)</f>
        <v>0.83214347491076102</v>
      </c>
      <c r="D7" s="69">
        <f t="shared" ref="D7:E7" si="0">(D6/C6-1)</f>
        <v>3.6298004917969475</v>
      </c>
      <c r="E7" s="72">
        <f t="shared" si="0"/>
        <v>1.8981786161190155</v>
      </c>
      <c r="F7" s="75"/>
      <c r="H7" s="56" t="s">
        <v>108</v>
      </c>
      <c r="I7" s="35">
        <f>SUM(I4:I5)</f>
        <v>65.777999999999992</v>
      </c>
      <c r="J7" s="35">
        <f>SUM(J4:J5)</f>
        <v>191.35499999999999</v>
      </c>
      <c r="K7" s="35">
        <f>K6+K4+K5</f>
        <v>1752.1</v>
      </c>
      <c r="L7" s="35">
        <f>L6+L4+L5</f>
        <v>2825.5</v>
      </c>
    </row>
    <row r="8" spans="1:15" ht="15.6" x14ac:dyDescent="0.3">
      <c r="A8" s="42" t="s">
        <v>83</v>
      </c>
      <c r="B8" s="95">
        <v>0</v>
      </c>
      <c r="C8" s="95">
        <v>0</v>
      </c>
      <c r="D8" s="95">
        <v>0</v>
      </c>
      <c r="E8" s="72">
        <f>+(E6/B6)^(1/3)-1</f>
        <v>1.907695793831917</v>
      </c>
      <c r="F8" s="75"/>
      <c r="H8" s="56" t="s">
        <v>124</v>
      </c>
      <c r="I8" s="36">
        <f>SUM(I4:I5)</f>
        <v>65.777999999999992</v>
      </c>
      <c r="J8" s="36">
        <f>SUM(J4:J5)</f>
        <v>191.35499999999999</v>
      </c>
      <c r="K8" s="36">
        <f>SUM(K4:K6)</f>
        <v>1752.1000000000001</v>
      </c>
      <c r="L8" s="36">
        <f>SUM(L4:L6)</f>
        <v>2825.5</v>
      </c>
    </row>
    <row r="9" spans="1:15" ht="15.6" x14ac:dyDescent="0.3">
      <c r="A9" s="88" t="s">
        <v>149</v>
      </c>
      <c r="B9" s="112">
        <v>0</v>
      </c>
      <c r="C9" s="112">
        <v>0</v>
      </c>
      <c r="D9" s="112">
        <v>0</v>
      </c>
      <c r="E9" s="112">
        <v>0</v>
      </c>
      <c r="H9" s="56" t="s">
        <v>140</v>
      </c>
      <c r="I9" s="35">
        <f t="shared" ref="I9" si="1">SUM(I10:I11)</f>
        <v>1.917</v>
      </c>
      <c r="J9" s="35">
        <f>SUM(J10:J11)</f>
        <v>79.427999999999997</v>
      </c>
      <c r="K9" s="35">
        <f>SUM(K10:K11)</f>
        <v>115.5</v>
      </c>
      <c r="L9" s="35">
        <f>SUM(L10:L11)</f>
        <v>208.10000000000002</v>
      </c>
    </row>
    <row r="10" spans="1:15" ht="15.6" x14ac:dyDescent="0.3">
      <c r="A10" s="39" t="s">
        <v>45</v>
      </c>
      <c r="B10" s="112">
        <v>127.06399999999999</v>
      </c>
      <c r="C10" s="112">
        <v>201.369</v>
      </c>
      <c r="D10" s="112">
        <v>1641.4</v>
      </c>
      <c r="E10" s="112">
        <v>5413.1</v>
      </c>
      <c r="F10" s="52"/>
      <c r="H10" s="57" t="s">
        <v>141</v>
      </c>
      <c r="I10" s="116">
        <v>0.98599999999999999</v>
      </c>
      <c r="J10" s="113">
        <v>70.89</v>
      </c>
      <c r="K10" s="91">
        <v>30</v>
      </c>
      <c r="L10" s="91">
        <v>33.299999999999997</v>
      </c>
    </row>
    <row r="11" spans="1:15" ht="15.6" x14ac:dyDescent="0.3">
      <c r="A11" s="39" t="s">
        <v>46</v>
      </c>
      <c r="B11" s="112">
        <v>-4.3879999999999999</v>
      </c>
      <c r="C11" s="112">
        <v>13.023</v>
      </c>
      <c r="D11" s="112">
        <v>-7.7</v>
      </c>
      <c r="E11" s="112">
        <v>-84.4</v>
      </c>
      <c r="H11" s="57" t="s">
        <v>142</v>
      </c>
      <c r="I11" s="116">
        <v>0.93100000000000005</v>
      </c>
      <c r="J11" s="113">
        <v>8.5380000000000003</v>
      </c>
      <c r="K11" s="5">
        <v>85.5</v>
      </c>
      <c r="L11" s="26">
        <v>174.8</v>
      </c>
    </row>
    <row r="12" spans="1:15" ht="15.6" x14ac:dyDescent="0.3">
      <c r="A12" s="39" t="s">
        <v>33</v>
      </c>
      <c r="B12" s="112">
        <v>34.234999999999999</v>
      </c>
      <c r="C12" s="112">
        <v>54.701000000000001</v>
      </c>
      <c r="D12" s="112">
        <v>73.2</v>
      </c>
      <c r="E12" s="112">
        <v>131.1</v>
      </c>
      <c r="H12" s="56" t="s">
        <v>143</v>
      </c>
      <c r="I12" s="35">
        <f>I47-I31</f>
        <v>66.763999999999967</v>
      </c>
      <c r="J12" s="35">
        <f>J47-J31</f>
        <v>264.99799999999999</v>
      </c>
      <c r="K12" s="35">
        <f>K47-K31</f>
        <v>1920.0000000000002</v>
      </c>
      <c r="L12" s="35">
        <f>L47-L31</f>
        <v>3111.0999999999995</v>
      </c>
    </row>
    <row r="13" spans="1:15" ht="15.6" x14ac:dyDescent="0.3">
      <c r="A13" s="39" t="s">
        <v>34</v>
      </c>
      <c r="B13" s="112">
        <v>48.906999999999996</v>
      </c>
      <c r="C13" s="112">
        <v>75.715999999999994</v>
      </c>
      <c r="D13" s="112">
        <v>132.9</v>
      </c>
      <c r="E13" s="112">
        <v>286.89999999999998</v>
      </c>
      <c r="H13" s="56" t="s">
        <v>102</v>
      </c>
      <c r="I13" s="35">
        <f>SUM(I14:I22)</f>
        <v>81.66</v>
      </c>
      <c r="J13" s="35">
        <f>SUM(J14:J22)</f>
        <v>233.17699999999999</v>
      </c>
      <c r="K13" s="35">
        <f>SUM(K14:K22)</f>
        <v>1207.8</v>
      </c>
      <c r="L13" s="35">
        <f>SUM(L14:L22)</f>
        <v>2112.6999999999998</v>
      </c>
    </row>
    <row r="14" spans="1:15" ht="15.6" x14ac:dyDescent="0.3">
      <c r="A14" s="40" t="s">
        <v>1</v>
      </c>
      <c r="B14" s="70">
        <f t="shared" ref="B14" si="2">B4-(SUM(B9:B13))</f>
        <v>41.353000000000009</v>
      </c>
      <c r="C14" s="70">
        <f>C4-(SUM(C9:C13))</f>
        <v>105.464</v>
      </c>
      <c r="D14" s="70">
        <f>D4-(SUM(D9:D13))</f>
        <v>289.59999999999991</v>
      </c>
      <c r="E14" s="70">
        <f>E4-(SUM(E9:E13))</f>
        <v>456.89999999999964</v>
      </c>
      <c r="F14" s="52"/>
      <c r="H14" s="54" t="s">
        <v>84</v>
      </c>
      <c r="I14" s="116">
        <v>3.085</v>
      </c>
      <c r="J14" s="55">
        <v>24.907</v>
      </c>
      <c r="K14" s="55">
        <v>20.9</v>
      </c>
      <c r="L14" s="55">
        <v>47.3</v>
      </c>
    </row>
    <row r="15" spans="1:15" ht="15.6" x14ac:dyDescent="0.3">
      <c r="A15" s="42" t="s">
        <v>0</v>
      </c>
      <c r="B15" s="95">
        <v>0</v>
      </c>
      <c r="C15" s="71">
        <f>(C14/B14-1)</f>
        <v>1.5503349212874515</v>
      </c>
      <c r="D15" s="71">
        <f t="shared" ref="D15:E15" si="3">(D14/C14-1)</f>
        <v>1.7459607069710983</v>
      </c>
      <c r="E15" s="92">
        <f t="shared" si="3"/>
        <v>0.57769337016574518</v>
      </c>
      <c r="H15" s="54" t="s">
        <v>116</v>
      </c>
      <c r="I15" s="116">
        <v>0</v>
      </c>
      <c r="J15" s="125">
        <v>0</v>
      </c>
      <c r="K15" s="125">
        <v>27.6</v>
      </c>
      <c r="L15" s="125">
        <v>21</v>
      </c>
    </row>
    <row r="16" spans="1:15" ht="15.6" x14ac:dyDescent="0.3">
      <c r="A16" s="42" t="s">
        <v>83</v>
      </c>
      <c r="B16" s="95">
        <v>0</v>
      </c>
      <c r="C16" s="95">
        <v>0</v>
      </c>
      <c r="D16" s="95">
        <v>0</v>
      </c>
      <c r="E16" s="92">
        <f>+(E14/B14)^(1/3)-1</f>
        <v>1.2272623660862769</v>
      </c>
      <c r="H16" s="54" t="s">
        <v>47</v>
      </c>
      <c r="I16" s="116">
        <v>0</v>
      </c>
      <c r="J16" s="125">
        <v>0.218</v>
      </c>
      <c r="K16" s="125">
        <v>0.1</v>
      </c>
      <c r="L16" s="125">
        <v>0</v>
      </c>
    </row>
    <row r="17" spans="1:12" ht="15.6" x14ac:dyDescent="0.3">
      <c r="A17" s="40" t="s">
        <v>2</v>
      </c>
      <c r="B17" s="73">
        <f t="shared" ref="B17:C17" si="4">(B14/B4)</f>
        <v>0.16730522593669975</v>
      </c>
      <c r="C17" s="73">
        <f t="shared" si="4"/>
        <v>0.23422234955238264</v>
      </c>
      <c r="D17" s="73">
        <f>(D14/D4)</f>
        <v>0.13600075138536671</v>
      </c>
      <c r="E17" s="73">
        <f>(E14/E4)</f>
        <v>7.3650783416080917E-2</v>
      </c>
      <c r="H17" s="54" t="s">
        <v>99</v>
      </c>
      <c r="I17" s="116">
        <v>0</v>
      </c>
      <c r="J17" s="125">
        <v>0</v>
      </c>
      <c r="K17" s="125">
        <v>87.3</v>
      </c>
      <c r="L17" s="125">
        <v>87.3</v>
      </c>
    </row>
    <row r="18" spans="1:12" ht="15.6" x14ac:dyDescent="0.3">
      <c r="A18" s="39" t="s">
        <v>4</v>
      </c>
      <c r="B18" s="111">
        <v>1.548</v>
      </c>
      <c r="C18" s="111">
        <v>4.7729999999999997</v>
      </c>
      <c r="D18" s="111">
        <v>11.2</v>
      </c>
      <c r="E18" s="113">
        <v>18.7</v>
      </c>
      <c r="H18" s="54" t="s">
        <v>100</v>
      </c>
      <c r="I18" s="116">
        <v>0</v>
      </c>
      <c r="J18" s="125">
        <v>0.503</v>
      </c>
      <c r="K18" s="125">
        <v>2.1</v>
      </c>
      <c r="L18" s="125">
        <v>2</v>
      </c>
    </row>
    <row r="19" spans="1:12" ht="15.6" x14ac:dyDescent="0.3">
      <c r="A19" s="39" t="s">
        <v>5</v>
      </c>
      <c r="B19" s="111">
        <v>0.872</v>
      </c>
      <c r="C19" s="111">
        <v>2.3250000000000002</v>
      </c>
      <c r="D19" s="111">
        <v>5</v>
      </c>
      <c r="E19" s="111">
        <v>14.6</v>
      </c>
      <c r="H19" s="54" t="s">
        <v>117</v>
      </c>
      <c r="I19" s="116" t="s">
        <v>144</v>
      </c>
      <c r="J19" s="125">
        <v>0</v>
      </c>
      <c r="K19" s="125">
        <v>0</v>
      </c>
      <c r="L19" s="125">
        <v>0.6</v>
      </c>
    </row>
    <row r="20" spans="1:12" ht="15.6" x14ac:dyDescent="0.3">
      <c r="A20" s="39" t="s">
        <v>113</v>
      </c>
      <c r="B20" s="55" t="s">
        <v>85</v>
      </c>
      <c r="C20" s="111">
        <v>0</v>
      </c>
      <c r="D20" s="111">
        <v>0</v>
      </c>
      <c r="E20" s="111">
        <v>0</v>
      </c>
      <c r="H20" s="54" t="s">
        <v>89</v>
      </c>
      <c r="I20" s="116">
        <f>30.676+47.432</f>
        <v>78.108000000000004</v>
      </c>
      <c r="J20" s="125">
        <v>206.15799999999999</v>
      </c>
      <c r="K20" s="125">
        <f>(104.38+2.59)*10</f>
        <v>1069.7</v>
      </c>
      <c r="L20" s="125">
        <f>(186.12+9.32)*10</f>
        <v>1954.4</v>
      </c>
    </row>
    <row r="21" spans="1:12" ht="15.6" x14ac:dyDescent="0.3">
      <c r="A21" s="40" t="s">
        <v>136</v>
      </c>
      <c r="B21" s="43">
        <f>B14-SUM(B18:B19)+B5</f>
        <v>46.134000000000007</v>
      </c>
      <c r="C21" s="43">
        <f>C14-SUM(C18:C19)+C20+C5</f>
        <v>114.139</v>
      </c>
      <c r="D21" s="43">
        <f>D14-SUM(D18:D19)+D20+D5</f>
        <v>301.69999999999993</v>
      </c>
      <c r="E21" s="43">
        <f>E14-SUM(E18:E19)+E20+E5</f>
        <v>473.39999999999964</v>
      </c>
      <c r="H21" s="54" t="s">
        <v>101</v>
      </c>
      <c r="I21" s="116">
        <v>0.41399999999999998</v>
      </c>
      <c r="J21" s="125">
        <v>1.274</v>
      </c>
      <c r="K21" s="125">
        <v>0</v>
      </c>
      <c r="L21" s="125">
        <v>0</v>
      </c>
    </row>
    <row r="22" spans="1:12" ht="15.6" x14ac:dyDescent="0.3">
      <c r="A22" s="39" t="s">
        <v>6</v>
      </c>
      <c r="B22" s="114">
        <f>11.94-0.147</f>
        <v>11.792999999999999</v>
      </c>
      <c r="C22" s="114">
        <f>30-0.86-0.029</f>
        <v>29.111000000000001</v>
      </c>
      <c r="D22" s="114">
        <f>65.7-6.8</f>
        <v>58.900000000000006</v>
      </c>
      <c r="E22" s="114">
        <f>88.5+0.7</f>
        <v>89.2</v>
      </c>
      <c r="H22" s="54" t="s">
        <v>86</v>
      </c>
      <c r="I22" s="116">
        <v>5.2999999999999999E-2</v>
      </c>
      <c r="J22" s="125">
        <v>0.11700000000000001</v>
      </c>
      <c r="K22" s="125">
        <v>0.1</v>
      </c>
      <c r="L22" s="125">
        <v>0.1</v>
      </c>
    </row>
    <row r="23" spans="1:12" ht="15.6" x14ac:dyDescent="0.3">
      <c r="A23" s="42" t="s">
        <v>7</v>
      </c>
      <c r="B23" s="69">
        <f t="shared" ref="B23" si="5">(B22/B21)</f>
        <v>0.25562491871504739</v>
      </c>
      <c r="C23" s="69">
        <f>(C22/C21)</f>
        <v>0.2550486687284802</v>
      </c>
      <c r="D23" s="69">
        <f>(D22/D21)</f>
        <v>0.19522704673516744</v>
      </c>
      <c r="E23" s="69">
        <f>(E22/E21)</f>
        <v>0.18842416561047756</v>
      </c>
      <c r="H23" s="56" t="s">
        <v>110</v>
      </c>
      <c r="I23" s="35">
        <f>SUM(I24:I30)</f>
        <v>76.941999999999993</v>
      </c>
      <c r="J23" s="35">
        <f>SUM(J24:J30)</f>
        <v>113.438</v>
      </c>
      <c r="K23" s="35">
        <f>SUM(K24:K30)</f>
        <v>2123.3000000000002</v>
      </c>
      <c r="L23" s="35">
        <f>SUM(L24:L30)</f>
        <v>2213.6999999999998</v>
      </c>
    </row>
    <row r="24" spans="1:12" ht="15.6" x14ac:dyDescent="0.3">
      <c r="A24" s="40" t="s">
        <v>95</v>
      </c>
      <c r="B24" s="51">
        <f t="shared" ref="B24:D24" si="6">B21-B22</f>
        <v>34.341000000000008</v>
      </c>
      <c r="C24" s="51">
        <v>85.028000000000006</v>
      </c>
      <c r="D24" s="51">
        <f t="shared" si="6"/>
        <v>242.79999999999993</v>
      </c>
      <c r="E24" s="51">
        <f>E21-E22</f>
        <v>384.19999999999965</v>
      </c>
      <c r="H24" s="54" t="s">
        <v>17</v>
      </c>
      <c r="I24" s="116">
        <v>15.893000000000001</v>
      </c>
      <c r="J24" s="126">
        <v>2.87</v>
      </c>
      <c r="K24" s="126">
        <v>431.1</v>
      </c>
      <c r="L24" s="126">
        <v>515.6</v>
      </c>
    </row>
    <row r="25" spans="1:12" ht="15.6" x14ac:dyDescent="0.3">
      <c r="A25" s="42" t="s">
        <v>96</v>
      </c>
      <c r="B25" s="89" t="s">
        <v>85</v>
      </c>
      <c r="C25" s="89" t="s">
        <v>85</v>
      </c>
      <c r="D25" s="89" t="s">
        <v>85</v>
      </c>
      <c r="E25" s="89">
        <v>0</v>
      </c>
      <c r="H25" s="54" t="s">
        <v>109</v>
      </c>
      <c r="I25" s="116">
        <v>0</v>
      </c>
      <c r="J25" s="126">
        <v>0</v>
      </c>
      <c r="K25" s="126">
        <v>1.4</v>
      </c>
      <c r="L25" s="126">
        <v>0</v>
      </c>
    </row>
    <row r="26" spans="1:12" ht="15.6" x14ac:dyDescent="0.3">
      <c r="A26" s="40" t="s">
        <v>114</v>
      </c>
      <c r="B26" s="43">
        <f>SUM(B24:B25)</f>
        <v>34.341000000000008</v>
      </c>
      <c r="C26" s="43">
        <v>85.028000000000006</v>
      </c>
      <c r="D26" s="43">
        <f>D21-D22</f>
        <v>242.79999999999993</v>
      </c>
      <c r="E26" s="43">
        <f>E21-E22</f>
        <v>384.19999999999965</v>
      </c>
      <c r="H26" s="54" t="s">
        <v>87</v>
      </c>
      <c r="I26" s="116">
        <v>29.15</v>
      </c>
      <c r="J26" s="126">
        <v>48.476999999999997</v>
      </c>
      <c r="K26" s="126">
        <v>1152.9000000000001</v>
      </c>
      <c r="L26" s="126">
        <v>1080.3</v>
      </c>
    </row>
    <row r="27" spans="1:12" ht="15.6" x14ac:dyDescent="0.3">
      <c r="A27" s="44" t="s">
        <v>40</v>
      </c>
      <c r="B27" s="74">
        <f t="shared" ref="B27" si="7">B26/B4</f>
        <v>0.13893620206253973</v>
      </c>
      <c r="C27" s="74">
        <f>C26/C4</f>
        <v>0.18883655027061361</v>
      </c>
      <c r="D27" s="93">
        <f>D26/D4</f>
        <v>0.11402272940734476</v>
      </c>
      <c r="E27" s="93">
        <f>E26/E4</f>
        <v>6.1931781546198918E-2</v>
      </c>
      <c r="H27" s="54" t="s">
        <v>88</v>
      </c>
      <c r="I27" s="116">
        <v>11.586</v>
      </c>
      <c r="J27" s="126">
        <v>30.382000000000001</v>
      </c>
      <c r="K27" s="126">
        <v>47.2</v>
      </c>
      <c r="L27" s="126">
        <v>72.3</v>
      </c>
    </row>
    <row r="28" spans="1:12" ht="15.6" x14ac:dyDescent="0.3">
      <c r="A28" s="39" t="s">
        <v>9</v>
      </c>
      <c r="B28" s="115">
        <v>0</v>
      </c>
      <c r="C28" s="116" t="s">
        <v>85</v>
      </c>
      <c r="D28" s="116" t="s">
        <v>85</v>
      </c>
      <c r="E28" s="116">
        <v>0</v>
      </c>
      <c r="H28" s="54" t="s">
        <v>134</v>
      </c>
      <c r="I28" s="116">
        <v>0</v>
      </c>
      <c r="J28" s="126">
        <v>0</v>
      </c>
      <c r="K28" s="126">
        <v>91.3</v>
      </c>
      <c r="L28" s="126">
        <v>9.1</v>
      </c>
    </row>
    <row r="29" spans="1:12" ht="15.6" x14ac:dyDescent="0.3">
      <c r="A29" s="39" t="s">
        <v>115</v>
      </c>
      <c r="B29" s="117">
        <v>0</v>
      </c>
      <c r="C29" s="117">
        <v>0</v>
      </c>
      <c r="D29" s="117">
        <f>847-119.9+0.2</f>
        <v>727.30000000000007</v>
      </c>
      <c r="E29" s="117">
        <f>818.7-116.9+0.2</f>
        <v>702.00000000000011</v>
      </c>
      <c r="H29" s="54" t="s">
        <v>89</v>
      </c>
      <c r="I29" s="116">
        <f>20.413-0.1</f>
        <v>20.312999999999999</v>
      </c>
      <c r="J29" s="126">
        <v>31.709</v>
      </c>
      <c r="K29" s="126">
        <f>111.1+180.5</f>
        <v>291.60000000000002</v>
      </c>
      <c r="L29" s="126">
        <f>192+209.3</f>
        <v>401.3</v>
      </c>
    </row>
    <row r="30" spans="1:12" ht="15.6" x14ac:dyDescent="0.3">
      <c r="A30" s="39" t="s">
        <v>137</v>
      </c>
      <c r="B30" s="117">
        <f>B26</f>
        <v>34.341000000000008</v>
      </c>
      <c r="C30" s="117">
        <f>C29+C26</f>
        <v>85.028000000000006</v>
      </c>
      <c r="D30" s="117">
        <f>D29+D26</f>
        <v>970.1</v>
      </c>
      <c r="E30" s="117">
        <f>E29+E26</f>
        <v>1086.1999999999998</v>
      </c>
      <c r="H30" s="54" t="s">
        <v>107</v>
      </c>
      <c r="I30" s="116">
        <v>0</v>
      </c>
      <c r="J30" s="126">
        <v>0</v>
      </c>
      <c r="K30" s="126">
        <v>107.8</v>
      </c>
      <c r="L30" s="126">
        <v>135.1</v>
      </c>
    </row>
    <row r="31" spans="1:12" ht="15.6" x14ac:dyDescent="0.3">
      <c r="A31" s="42" t="s">
        <v>83</v>
      </c>
      <c r="B31" s="98">
        <v>0</v>
      </c>
      <c r="C31" s="98">
        <v>0</v>
      </c>
      <c r="D31" s="98">
        <v>0</v>
      </c>
      <c r="E31" s="90">
        <f>+(E30/B30)^(1/3)-1</f>
        <v>2.1625127637022197</v>
      </c>
      <c r="H31" s="56" t="s">
        <v>104</v>
      </c>
      <c r="I31" s="35">
        <f t="shared" ref="I31:L31" si="8">SUM(I32:I38)</f>
        <v>91.838000000000008</v>
      </c>
      <c r="J31" s="35">
        <f t="shared" si="8"/>
        <v>81.617000000000004</v>
      </c>
      <c r="K31" s="35">
        <f t="shared" si="8"/>
        <v>1411.1000000000001</v>
      </c>
      <c r="L31" s="35">
        <f t="shared" si="8"/>
        <v>1215.3</v>
      </c>
    </row>
    <row r="32" spans="1:12" ht="15.6" x14ac:dyDescent="0.3">
      <c r="A32" s="42" t="s">
        <v>98</v>
      </c>
      <c r="B32" s="96">
        <v>34.340000000000003</v>
      </c>
      <c r="C32" s="59">
        <v>83.24</v>
      </c>
      <c r="D32" s="59">
        <v>42.97</v>
      </c>
      <c r="E32" s="59">
        <v>65.209999999999994</v>
      </c>
      <c r="H32" s="54" t="s">
        <v>118</v>
      </c>
      <c r="I32" s="116">
        <v>0.93100000000000005</v>
      </c>
      <c r="J32" s="126">
        <v>8.5380000000000003</v>
      </c>
      <c r="K32" s="126">
        <v>85.5</v>
      </c>
      <c r="L32" s="126">
        <v>174.8</v>
      </c>
    </row>
    <row r="33" spans="1:13" ht="15.6" x14ac:dyDescent="0.3">
      <c r="A33" s="45" t="s">
        <v>97</v>
      </c>
      <c r="B33" s="117">
        <v>34.340000000000003</v>
      </c>
      <c r="C33" s="117">
        <v>83.24</v>
      </c>
      <c r="D33" s="117">
        <f>D32</f>
        <v>42.97</v>
      </c>
      <c r="E33" s="117">
        <f>E32</f>
        <v>65.209999999999994</v>
      </c>
      <c r="H33" s="54" t="s">
        <v>130</v>
      </c>
      <c r="I33" s="116">
        <v>0</v>
      </c>
      <c r="J33" s="126">
        <v>0</v>
      </c>
      <c r="K33" s="126">
        <v>5.0999999999999996</v>
      </c>
      <c r="L33" s="126">
        <v>5.0999999999999996</v>
      </c>
    </row>
    <row r="34" spans="1:13" ht="15.6" x14ac:dyDescent="0.3">
      <c r="A34" s="46" t="s">
        <v>0</v>
      </c>
      <c r="B34" s="97">
        <v>0</v>
      </c>
      <c r="C34" s="60">
        <f>(C33/B33-1)</f>
        <v>1.4239953407105412</v>
      </c>
      <c r="D34" s="60">
        <f>(D33/C33-1)</f>
        <v>-0.48378183565593458</v>
      </c>
      <c r="E34" s="60">
        <f>(E33/D33-1)</f>
        <v>0.51757039795205939</v>
      </c>
      <c r="H34" s="54" t="s">
        <v>119</v>
      </c>
      <c r="I34" s="116">
        <f>23.353+23.375</f>
        <v>46.728000000000002</v>
      </c>
      <c r="J34" s="113">
        <f>27.364+7.947</f>
        <v>35.311</v>
      </c>
      <c r="K34" s="113">
        <f>42.4+894.7</f>
        <v>937.1</v>
      </c>
      <c r="L34" s="113">
        <f>694.6+18.3</f>
        <v>712.9</v>
      </c>
    </row>
    <row r="35" spans="1:13" ht="15.6" x14ac:dyDescent="0.3">
      <c r="A35" s="46" t="s">
        <v>83</v>
      </c>
      <c r="B35" s="96">
        <v>0</v>
      </c>
      <c r="C35" s="96">
        <v>0</v>
      </c>
      <c r="D35" s="96">
        <v>0</v>
      </c>
      <c r="E35" s="61">
        <f>ABS((E33/-B33)^(1/3)-1)</f>
        <v>2.2383344921789812</v>
      </c>
      <c r="H35" s="54" t="s">
        <v>131</v>
      </c>
      <c r="I35" s="116">
        <v>0</v>
      </c>
      <c r="J35" s="126">
        <v>0</v>
      </c>
      <c r="K35" s="126">
        <v>1.7</v>
      </c>
      <c r="L35" s="126">
        <v>3.2</v>
      </c>
    </row>
    <row r="36" spans="1:13" ht="15.6" x14ac:dyDescent="0.3">
      <c r="A36" s="2"/>
      <c r="B36" s="4"/>
      <c r="C36" s="4"/>
      <c r="D36" s="4"/>
      <c r="E36" s="4"/>
      <c r="H36" s="54" t="s">
        <v>91</v>
      </c>
      <c r="I36" s="116">
        <v>39.384</v>
      </c>
      <c r="J36" s="126">
        <v>28.693000000000001</v>
      </c>
      <c r="K36" s="126">
        <v>363.1</v>
      </c>
      <c r="L36" s="126">
        <v>283.5</v>
      </c>
    </row>
    <row r="37" spans="1:13" ht="15.6" x14ac:dyDescent="0.3">
      <c r="A37" s="2"/>
      <c r="B37" s="4"/>
      <c r="C37" s="4"/>
      <c r="D37" s="4"/>
      <c r="E37" s="4"/>
      <c r="H37" s="54" t="s">
        <v>90</v>
      </c>
      <c r="I37" s="116">
        <v>4.7949999999999999</v>
      </c>
      <c r="J37" s="126">
        <v>9.0749999999999993</v>
      </c>
      <c r="K37" s="126">
        <v>4.2</v>
      </c>
      <c r="L37" s="126">
        <v>7.7</v>
      </c>
    </row>
    <row r="38" spans="1:13" ht="15.6" x14ac:dyDescent="0.3">
      <c r="A38" s="3" t="s">
        <v>11</v>
      </c>
      <c r="B38" s="4"/>
      <c r="C38" s="4"/>
      <c r="D38" s="4"/>
      <c r="E38" s="4"/>
      <c r="H38" s="54" t="s">
        <v>120</v>
      </c>
      <c r="I38" s="116">
        <v>0</v>
      </c>
      <c r="J38" s="126">
        <v>0</v>
      </c>
      <c r="K38" s="126">
        <v>14.4</v>
      </c>
      <c r="L38" s="126">
        <v>28.1</v>
      </c>
      <c r="M38" s="94"/>
    </row>
    <row r="39" spans="1:13" ht="15.6" x14ac:dyDescent="0.3">
      <c r="A39" s="37" t="s">
        <v>126</v>
      </c>
      <c r="B39" s="38" t="s">
        <v>93</v>
      </c>
      <c r="C39" s="79" t="s">
        <v>148</v>
      </c>
      <c r="D39" s="38" t="s">
        <v>150</v>
      </c>
      <c r="E39" s="38" t="s">
        <v>152</v>
      </c>
      <c r="H39" s="56" t="s">
        <v>135</v>
      </c>
      <c r="I39" s="35">
        <f>I23-I31</f>
        <v>-14.896000000000015</v>
      </c>
      <c r="J39" s="35">
        <f>J23-J31</f>
        <v>31.820999999999998</v>
      </c>
      <c r="K39" s="35">
        <f>K23-K31</f>
        <v>712.2</v>
      </c>
      <c r="L39" s="35">
        <f>L23-L31</f>
        <v>998.39999999999986</v>
      </c>
    </row>
    <row r="40" spans="1:13" ht="15.6" x14ac:dyDescent="0.3">
      <c r="A40" s="37" t="s">
        <v>12</v>
      </c>
      <c r="B40" s="48">
        <v>8.3049999999999997</v>
      </c>
      <c r="C40" s="80">
        <f>B45</f>
        <v>11.485999999999997</v>
      </c>
      <c r="D40" s="80">
        <f t="shared" ref="D40:E40" si="9">C45</f>
        <v>30.381999999999984</v>
      </c>
      <c r="E40" s="80">
        <f t="shared" si="9"/>
        <v>77.581999999999937</v>
      </c>
      <c r="H40" s="56" t="s">
        <v>132</v>
      </c>
      <c r="I40" s="35">
        <f>SUM(I42:I46)</f>
        <v>0.98599999999999999</v>
      </c>
      <c r="J40" s="35">
        <f>SUM(J42:J46)</f>
        <v>73.641999999999996</v>
      </c>
      <c r="K40" s="35">
        <f>SUM(K42:K46)</f>
        <v>167.9</v>
      </c>
      <c r="L40" s="35">
        <f>SUM(L42:L46)</f>
        <v>285.60000000000002</v>
      </c>
    </row>
    <row r="41" spans="1:13" ht="15.6" x14ac:dyDescent="0.3">
      <c r="A41" s="37" t="s">
        <v>121</v>
      </c>
      <c r="B41" s="118">
        <v>50.378999999999998</v>
      </c>
      <c r="C41" s="119">
        <v>53.128999999999998</v>
      </c>
      <c r="D41" s="118">
        <v>71.599999999999994</v>
      </c>
      <c r="E41" s="118">
        <v>144.5</v>
      </c>
      <c r="H41" s="54" t="s">
        <v>103</v>
      </c>
      <c r="I41" s="116">
        <f>SUM(I42:I43)</f>
        <v>0.98599999999999999</v>
      </c>
      <c r="J41" s="116">
        <f>SUM(J42:J43)</f>
        <v>70.89</v>
      </c>
      <c r="K41" s="116">
        <f>SUM(K42:K43)</f>
        <v>51.7</v>
      </c>
      <c r="L41" s="116">
        <f>SUM(L42:L43)</f>
        <v>49.9</v>
      </c>
    </row>
    <row r="42" spans="1:13" ht="15.6" x14ac:dyDescent="0.3">
      <c r="A42" s="39" t="s">
        <v>122</v>
      </c>
      <c r="B42" s="115">
        <v>-45.454000000000001</v>
      </c>
      <c r="C42" s="120">
        <v>-151.91800000000001</v>
      </c>
      <c r="D42" s="121">
        <v>-301.10000000000002</v>
      </c>
      <c r="E42" s="121">
        <v>-105.5</v>
      </c>
      <c r="H42" s="54" t="s">
        <v>145</v>
      </c>
      <c r="I42" s="116">
        <v>0.98599999999999999</v>
      </c>
      <c r="J42" s="113">
        <v>70.89</v>
      </c>
      <c r="K42" s="127">
        <f>30</f>
        <v>30</v>
      </c>
      <c r="L42" s="128">
        <v>33.299999999999997</v>
      </c>
    </row>
    <row r="43" spans="1:13" ht="15.6" x14ac:dyDescent="0.3">
      <c r="A43" s="39" t="s">
        <v>123</v>
      </c>
      <c r="B43" s="115">
        <v>-1.744</v>
      </c>
      <c r="C43" s="120">
        <v>117.685</v>
      </c>
      <c r="D43" s="121">
        <v>276.7</v>
      </c>
      <c r="E43" s="121">
        <v>60.7</v>
      </c>
      <c r="H43" s="54" t="s">
        <v>130</v>
      </c>
      <c r="I43" s="116">
        <v>0</v>
      </c>
      <c r="J43" s="113">
        <v>0</v>
      </c>
      <c r="K43" s="113">
        <v>21.7</v>
      </c>
      <c r="L43" s="113">
        <v>16.600000000000001</v>
      </c>
    </row>
    <row r="44" spans="1:13" ht="15.6" x14ac:dyDescent="0.3">
      <c r="A44" s="37" t="s">
        <v>13</v>
      </c>
      <c r="B44" s="122">
        <f>SUM(B41:B43)</f>
        <v>3.1809999999999974</v>
      </c>
      <c r="C44" s="122">
        <f>SUM(C41:C43)</f>
        <v>18.895999999999987</v>
      </c>
      <c r="D44" s="123">
        <f>SUM(D41:D43)</f>
        <v>47.19999999999996</v>
      </c>
      <c r="E44" s="123">
        <f>SUM(E41:E43)</f>
        <v>99.7</v>
      </c>
      <c r="H44" s="54" t="s">
        <v>90</v>
      </c>
      <c r="I44" s="116">
        <v>0</v>
      </c>
      <c r="J44" s="113">
        <v>2.7519999999999998</v>
      </c>
      <c r="K44" s="113">
        <v>4.5999999999999996</v>
      </c>
      <c r="L44" s="113">
        <v>6.7</v>
      </c>
    </row>
    <row r="45" spans="1:13" ht="15.6" x14ac:dyDescent="0.3">
      <c r="A45" s="37" t="s">
        <v>35</v>
      </c>
      <c r="B45" s="41">
        <f>B44+B40</f>
        <v>11.485999999999997</v>
      </c>
      <c r="C45" s="81">
        <f>SUM(C40+C44)</f>
        <v>30.381999999999984</v>
      </c>
      <c r="D45" s="41">
        <f>D40+D44</f>
        <v>77.581999999999937</v>
      </c>
      <c r="E45" s="41">
        <f>E40+E44</f>
        <v>177.28199999999993</v>
      </c>
      <c r="H45" s="54" t="s">
        <v>129</v>
      </c>
      <c r="I45" s="116">
        <v>0</v>
      </c>
      <c r="J45" s="113">
        <v>0</v>
      </c>
      <c r="K45" s="113">
        <v>0</v>
      </c>
      <c r="L45" s="113">
        <v>0</v>
      </c>
    </row>
    <row r="46" spans="1:13" ht="15.6" x14ac:dyDescent="0.3">
      <c r="A46" s="39"/>
      <c r="B46" s="49"/>
      <c r="C46" s="68"/>
      <c r="D46" s="84"/>
      <c r="E46" s="84"/>
      <c r="H46" s="54" t="s">
        <v>106</v>
      </c>
      <c r="I46" s="116">
        <v>0</v>
      </c>
      <c r="J46" s="113">
        <v>0</v>
      </c>
      <c r="K46" s="113">
        <v>111.6</v>
      </c>
      <c r="L46" s="113">
        <v>229</v>
      </c>
    </row>
    <row r="47" spans="1:13" ht="15.6" x14ac:dyDescent="0.3">
      <c r="A47" s="50" t="s">
        <v>14</v>
      </c>
      <c r="B47" s="38" t="s">
        <v>93</v>
      </c>
      <c r="C47" s="79" t="s">
        <v>148</v>
      </c>
      <c r="D47" s="38" t="s">
        <v>150</v>
      </c>
      <c r="E47" s="38" t="s">
        <v>152</v>
      </c>
      <c r="H47" s="56" t="s">
        <v>43</v>
      </c>
      <c r="I47" s="36">
        <f>I23+I13</f>
        <v>158.60199999999998</v>
      </c>
      <c r="J47" s="36">
        <f>J23+J13</f>
        <v>346.61500000000001</v>
      </c>
      <c r="K47" s="36">
        <f>K23+K13</f>
        <v>3331.1000000000004</v>
      </c>
      <c r="L47" s="36">
        <f>L23+L13</f>
        <v>4326.3999999999996</v>
      </c>
    </row>
    <row r="48" spans="1:13" ht="15.6" x14ac:dyDescent="0.3">
      <c r="A48" s="37" t="s">
        <v>92</v>
      </c>
      <c r="B48" s="43">
        <f t="shared" ref="B48:C48" si="10">B41</f>
        <v>50.378999999999998</v>
      </c>
      <c r="C48" s="82">
        <f t="shared" si="10"/>
        <v>53.128999999999998</v>
      </c>
      <c r="D48" s="43">
        <f>D41</f>
        <v>71.599999999999994</v>
      </c>
      <c r="E48" s="43">
        <f>E41</f>
        <v>144.5</v>
      </c>
      <c r="H48" s="56" t="s">
        <v>105</v>
      </c>
      <c r="I48" s="36">
        <f>I40+I31+I7</f>
        <v>158.602</v>
      </c>
      <c r="J48" s="36">
        <f>J40+J31+J7</f>
        <v>346.61400000000003</v>
      </c>
      <c r="K48" s="36">
        <f>K40+K31+K7</f>
        <v>3331.1000000000004</v>
      </c>
      <c r="L48" s="36">
        <f>L40+L31+L8</f>
        <v>4326.3999999999996</v>
      </c>
    </row>
    <row r="49" spans="1:13" ht="15.6" x14ac:dyDescent="0.3">
      <c r="A49" s="53" t="s">
        <v>15</v>
      </c>
      <c r="B49" s="51">
        <v>0.7</v>
      </c>
      <c r="C49" s="51">
        <v>27.3</v>
      </c>
      <c r="D49" s="51">
        <v>32.9</v>
      </c>
      <c r="E49" s="51">
        <f>39.8-3</f>
        <v>36.799999999999997</v>
      </c>
      <c r="H49" s="77"/>
      <c r="I49" s="78"/>
      <c r="J49" s="78"/>
      <c r="K49" s="78"/>
      <c r="L49" s="78"/>
    </row>
    <row r="50" spans="1:13" ht="15.6" x14ac:dyDescent="0.3">
      <c r="A50" s="40" t="s">
        <v>16</v>
      </c>
      <c r="B50" s="36">
        <f t="shared" ref="B50:C50" si="11">B48-B49</f>
        <v>49.678999999999995</v>
      </c>
      <c r="C50" s="83">
        <f t="shared" si="11"/>
        <v>25.828999999999997</v>
      </c>
      <c r="D50" s="43">
        <f>D48-D49</f>
        <v>38.699999999999996</v>
      </c>
      <c r="E50" s="43">
        <f>E48-E49</f>
        <v>107.7</v>
      </c>
      <c r="H50" s="56"/>
      <c r="I50" s="76" t="s">
        <v>93</v>
      </c>
      <c r="J50" s="36" t="s">
        <v>148</v>
      </c>
      <c r="K50" s="36" t="s">
        <v>150</v>
      </c>
      <c r="L50" s="36" t="s">
        <v>152</v>
      </c>
    </row>
    <row r="51" spans="1:13" ht="15.6" x14ac:dyDescent="0.3">
      <c r="A51" s="86"/>
      <c r="B51" s="87"/>
      <c r="C51" s="87"/>
      <c r="D51" s="87"/>
      <c r="E51" s="87"/>
      <c r="H51" s="58" t="s">
        <v>128</v>
      </c>
      <c r="I51" s="63">
        <v>0</v>
      </c>
      <c r="J51" s="63">
        <v>0</v>
      </c>
      <c r="K51" s="67"/>
      <c r="L51" s="137">
        <v>2239</v>
      </c>
    </row>
    <row r="52" spans="1:13" ht="15.6" x14ac:dyDescent="0.3">
      <c r="A52"/>
      <c r="H52" s="58" t="s">
        <v>18</v>
      </c>
      <c r="I52" s="64">
        <f>B33</f>
        <v>34.340000000000003</v>
      </c>
      <c r="J52" s="64">
        <f>C33</f>
        <v>83.24</v>
      </c>
      <c r="K52" s="64">
        <f>D33</f>
        <v>42.97</v>
      </c>
      <c r="L52" s="64">
        <f>E33</f>
        <v>65.209999999999994</v>
      </c>
    </row>
    <row r="53" spans="1:13" ht="15.6" x14ac:dyDescent="0.3">
      <c r="A53"/>
      <c r="H53" s="65" t="s">
        <v>19</v>
      </c>
      <c r="I53" s="129">
        <f>I7/B54</f>
        <v>65.776084563641106</v>
      </c>
      <c r="J53" s="129">
        <f>J7/C54</f>
        <v>173.95909090909089</v>
      </c>
      <c r="K53" s="129">
        <f>K7/D54</f>
        <v>1168.0666666666666</v>
      </c>
      <c r="L53" s="130">
        <f>L7/E54</f>
        <v>479.57015877147353</v>
      </c>
    </row>
    <row r="54" spans="1:13" ht="15.6" x14ac:dyDescent="0.3">
      <c r="A54" s="37" t="s">
        <v>127</v>
      </c>
      <c r="B54" s="85">
        <f>B26/B33</f>
        <v>1.000029120559115</v>
      </c>
      <c r="C54" s="85">
        <v>1.1000000000000001</v>
      </c>
      <c r="D54" s="85">
        <v>1.5</v>
      </c>
      <c r="E54" s="85">
        <f>E26/E33</f>
        <v>5.8917343965649396</v>
      </c>
      <c r="H54" s="65" t="s">
        <v>20</v>
      </c>
      <c r="I54" s="131" t="s">
        <v>85</v>
      </c>
      <c r="J54" s="131" t="s">
        <v>85</v>
      </c>
      <c r="K54" s="131" t="s">
        <v>85</v>
      </c>
      <c r="L54" s="132" t="s">
        <v>85</v>
      </c>
    </row>
    <row r="55" spans="1:13" ht="15.6" x14ac:dyDescent="0.3">
      <c r="A55" s="37" t="s">
        <v>133</v>
      </c>
      <c r="B55" s="39">
        <v>10</v>
      </c>
      <c r="C55" s="39">
        <v>10</v>
      </c>
      <c r="D55" s="39">
        <v>10</v>
      </c>
      <c r="E55" s="39">
        <v>10</v>
      </c>
      <c r="H55" s="65" t="s">
        <v>21</v>
      </c>
      <c r="I55" s="129">
        <f>(I51/I52)</f>
        <v>0</v>
      </c>
      <c r="J55" s="129">
        <f>(J51/J52)</f>
        <v>0</v>
      </c>
      <c r="K55" s="129">
        <f>(K51/K52)</f>
        <v>0</v>
      </c>
      <c r="L55" s="130">
        <f>(L51/L52)</f>
        <v>34.335224658794665</v>
      </c>
      <c r="M55" s="52"/>
    </row>
    <row r="56" spans="1:13" ht="15.6" x14ac:dyDescent="0.3">
      <c r="A56" s="37" t="s">
        <v>36</v>
      </c>
      <c r="B56" s="47">
        <f>B54*I51</f>
        <v>0</v>
      </c>
      <c r="C56" s="47">
        <f>C54*J51</f>
        <v>0</v>
      </c>
      <c r="D56" s="47">
        <f>D54*K51</f>
        <v>0</v>
      </c>
      <c r="E56" s="47">
        <f>E54*L51</f>
        <v>13191.593313908899</v>
      </c>
      <c r="H56" s="65" t="s">
        <v>22</v>
      </c>
      <c r="I56" s="129">
        <f t="shared" ref="I56" si="12">I51/I53</f>
        <v>0</v>
      </c>
      <c r="J56" s="129">
        <f>J51/J53</f>
        <v>0</v>
      </c>
      <c r="K56" s="129">
        <f>K51/K53</f>
        <v>0</v>
      </c>
      <c r="L56" s="133">
        <f>L51/L53</f>
        <v>4.6687642236449829</v>
      </c>
    </row>
    <row r="57" spans="1:13" ht="15.6" x14ac:dyDescent="0.3">
      <c r="A57" s="37" t="s">
        <v>39</v>
      </c>
      <c r="B57" s="47">
        <f>I9</f>
        <v>1.917</v>
      </c>
      <c r="C57" s="47">
        <f>J9</f>
        <v>79.427999999999997</v>
      </c>
      <c r="D57" s="47">
        <f>K9</f>
        <v>115.5</v>
      </c>
      <c r="E57" s="47">
        <f>L9</f>
        <v>208.10000000000002</v>
      </c>
      <c r="H57" s="65" t="s">
        <v>23</v>
      </c>
      <c r="I57" s="131">
        <f>B59/B14</f>
        <v>-0.23381616811355885</v>
      </c>
      <c r="J57" s="131">
        <f>C59/C14</f>
        <v>0.46504968520063711</v>
      </c>
      <c r="K57" s="131">
        <f>D59/D14</f>
        <v>-7.941988950276245E-2</v>
      </c>
      <c r="L57" s="131">
        <f>E59/E14</f>
        <v>29.149252164388074</v>
      </c>
      <c r="M57" t="s">
        <v>151</v>
      </c>
    </row>
    <row r="58" spans="1:13" ht="15.6" x14ac:dyDescent="0.3">
      <c r="A58" s="37" t="s">
        <v>37</v>
      </c>
      <c r="B58" s="47">
        <f>I27+I28</f>
        <v>11.586</v>
      </c>
      <c r="C58" s="47">
        <f>SUM(J27:J28)</f>
        <v>30.382000000000001</v>
      </c>
      <c r="D58" s="47">
        <f>K27+K28</f>
        <v>138.5</v>
      </c>
      <c r="E58" s="47">
        <f>L27+L28</f>
        <v>81.399999999999991</v>
      </c>
      <c r="H58" s="65" t="s">
        <v>24</v>
      </c>
      <c r="I58" s="134">
        <f>B26/I7</f>
        <v>0.52207424974915639</v>
      </c>
      <c r="J58" s="134">
        <f>C26/J7</f>
        <v>0.44434689451542947</v>
      </c>
      <c r="K58" s="134">
        <f>D26/K7</f>
        <v>0.13857656526453965</v>
      </c>
      <c r="L58" s="134">
        <f>E26/L7</f>
        <v>0.13597593346310374</v>
      </c>
    </row>
    <row r="59" spans="1:13" ht="15.6" x14ac:dyDescent="0.3">
      <c r="A59" s="37" t="s">
        <v>38</v>
      </c>
      <c r="B59" s="41">
        <f t="shared" ref="B59:C59" si="13">B56+B57-B58</f>
        <v>-9.6690000000000005</v>
      </c>
      <c r="C59" s="41">
        <f t="shared" si="13"/>
        <v>49.045999999999992</v>
      </c>
      <c r="D59" s="41">
        <f>D56+D57-D58</f>
        <v>-23</v>
      </c>
      <c r="E59" s="41">
        <f>E56+E57-E58</f>
        <v>13318.2933139089</v>
      </c>
      <c r="H59" s="65" t="s">
        <v>25</v>
      </c>
      <c r="I59" s="134">
        <f>(B14-B18)/I12</f>
        <v>0.59620454136960077</v>
      </c>
      <c r="J59" s="134">
        <f>(C14-C18)/J12</f>
        <v>0.37996890542570133</v>
      </c>
      <c r="K59" s="134">
        <f>(D14-D18)/K12</f>
        <v>0.14499999999999993</v>
      </c>
      <c r="L59" s="134">
        <f>(E14-E18)/L12</f>
        <v>0.14085050303751076</v>
      </c>
    </row>
    <row r="60" spans="1:13" ht="15.6" x14ac:dyDescent="0.3">
      <c r="A60" s="2"/>
      <c r="B60" s="4"/>
      <c r="C60" s="4"/>
      <c r="D60" s="4"/>
      <c r="E60" s="4"/>
      <c r="H60" s="65" t="s">
        <v>26</v>
      </c>
      <c r="I60" s="135">
        <f>I9/I8</f>
        <v>2.9143482623369521E-2</v>
      </c>
      <c r="J60" s="135">
        <f>J9/J8</f>
        <v>0.41508191581092735</v>
      </c>
      <c r="K60" s="135">
        <f>K9/K8</f>
        <v>6.5920894926088686E-2</v>
      </c>
      <c r="L60" s="135">
        <f>L9/L8</f>
        <v>7.3650681295345966E-2</v>
      </c>
    </row>
    <row r="61" spans="1:13" ht="15.6" x14ac:dyDescent="0.3">
      <c r="H61" s="65" t="s">
        <v>27</v>
      </c>
      <c r="I61" s="135">
        <f>(I9-SUM(I27:I28))/I7</f>
        <v>-0.14699443582960872</v>
      </c>
      <c r="J61" s="135">
        <f>(J9-SUM(J27:J28))/J7</f>
        <v>0.25630895456089464</v>
      </c>
      <c r="K61" s="135">
        <f>(K9-SUM(K27:K28))/K7</f>
        <v>-1.3127104617316364E-2</v>
      </c>
      <c r="L61" s="135">
        <f>(L9-SUM(L27:L28))/L7</f>
        <v>4.4841620952043894E-2</v>
      </c>
    </row>
    <row r="62" spans="1:13" ht="15.6" x14ac:dyDescent="0.3">
      <c r="H62" s="65" t="s">
        <v>28</v>
      </c>
      <c r="I62" s="55" t="s">
        <v>85</v>
      </c>
      <c r="J62" s="55">
        <v>0</v>
      </c>
      <c r="K62" s="55">
        <v>0</v>
      </c>
      <c r="L62" s="55">
        <v>0</v>
      </c>
    </row>
    <row r="63" spans="1:13" ht="15.6" x14ac:dyDescent="0.3">
      <c r="H63" s="65" t="s">
        <v>29</v>
      </c>
      <c r="I63" s="116">
        <f>(AVERAGE(I26:I26)/B4*365)</f>
        <v>43.046109778250688</v>
      </c>
      <c r="J63" s="116">
        <f>(AVERAGE(I26:J26)/C4*365)</f>
        <v>31.462973573809663</v>
      </c>
      <c r="K63" s="116">
        <f>(AVERAGE(J26:K26)/D4*365)</f>
        <v>102.96388771484926</v>
      </c>
      <c r="L63" s="116">
        <f>(AVERAGE(K26:L26)/E4*365)</f>
        <v>65.69717583338705</v>
      </c>
    </row>
    <row r="64" spans="1:13" ht="15.6" x14ac:dyDescent="0.3">
      <c r="H64" s="65" t="s">
        <v>30</v>
      </c>
      <c r="I64" s="116">
        <f>(AVERAGE(H34,I34))/SUM(B9:B11)*365</f>
        <v>139.03061723564514</v>
      </c>
      <c r="J64" s="116">
        <f>(AVERAGE(I34,J34))/SUM(C9:C11)*365</f>
        <v>69.835243385947251</v>
      </c>
      <c r="K64" s="116">
        <f>(AVERAGE(J34,K34))/SUM(D9:D11)*365</f>
        <v>108.62765960702698</v>
      </c>
      <c r="L64" s="116">
        <f>(AVERAGE(K34,L34))/SUM(E9:E11)*365</f>
        <v>56.510030589074248</v>
      </c>
    </row>
    <row r="65" spans="1:12" ht="15.6" x14ac:dyDescent="0.3">
      <c r="H65" s="65" t="s">
        <v>31</v>
      </c>
      <c r="I65" s="55">
        <f>AVERAGE(I24:I24)/(SUM(B9:B11))*365</f>
        <v>47.286714597802352</v>
      </c>
      <c r="J65" s="55">
        <f>AVERAGE(I24:J24)/(SUM(C9:C11))*365</f>
        <v>15.971899604462854</v>
      </c>
      <c r="K65" s="55">
        <f>AVERAGE(J24:K24)/(SUM(D9:D11))*365</f>
        <v>48.478622146048849</v>
      </c>
      <c r="L65" s="55">
        <f>AVERAGE(K24:L24)/(SUM(E9:E11))*365</f>
        <v>32.423058156773699</v>
      </c>
    </row>
    <row r="66" spans="1:12" ht="15.6" x14ac:dyDescent="0.3">
      <c r="H66" s="65" t="s">
        <v>41</v>
      </c>
      <c r="I66" s="55">
        <f t="shared" ref="I66:K66" si="14">I63+I65-I64</f>
        <v>-48.697792859592099</v>
      </c>
      <c r="J66" s="55">
        <f>J63+J65-J64</f>
        <v>-22.400370207674733</v>
      </c>
      <c r="K66" s="55">
        <f t="shared" si="14"/>
        <v>42.814850253871114</v>
      </c>
      <c r="L66" s="55">
        <f t="shared" ref="L66" si="15">L63+L65-L64</f>
        <v>41.610203401086508</v>
      </c>
    </row>
    <row r="67" spans="1:12" ht="15.6" x14ac:dyDescent="0.3">
      <c r="A67" s="2"/>
      <c r="H67" s="65" t="s">
        <v>32</v>
      </c>
      <c r="I67" s="55">
        <f>(AVERAGE(I13:I13)/B4)*365</f>
        <v>120.58817579732251</v>
      </c>
      <c r="J67" s="55">
        <f>(AVERAGE(I13:J13)/C4)*365</f>
        <v>127.60647984667079</v>
      </c>
      <c r="K67" s="55">
        <f>(AVERAGE(J13:K13)/D4)*365</f>
        <v>123.49878017281863</v>
      </c>
      <c r="L67" s="55">
        <f>(AVERAGE(K13:L13)/E4)*365</f>
        <v>97.683804565091236</v>
      </c>
    </row>
    <row r="68" spans="1:12" ht="15.6" x14ac:dyDescent="0.3">
      <c r="H68" s="66" t="s">
        <v>42</v>
      </c>
      <c r="I68" s="136">
        <f>B19/I9</f>
        <v>0.45487741262389148</v>
      </c>
      <c r="J68" s="136">
        <f>C19/J9</f>
        <v>2.927179332225412E-2</v>
      </c>
      <c r="K68" s="136">
        <f>D19/K9</f>
        <v>4.3290043290043288E-2</v>
      </c>
      <c r="L68" s="136">
        <f>E19/L9</f>
        <v>7.0158577606919736E-2</v>
      </c>
    </row>
    <row r="69" spans="1:12" ht="15.6" x14ac:dyDescent="0.3">
      <c r="H69" s="66" t="s">
        <v>146</v>
      </c>
      <c r="I69" s="55">
        <f>B14/B19</f>
        <v>47.423165137614689</v>
      </c>
      <c r="J69" s="55">
        <f>C14/C19</f>
        <v>45.360860215053762</v>
      </c>
      <c r="K69" s="55">
        <f>D14/D19</f>
        <v>57.91999999999998</v>
      </c>
      <c r="L69" s="55">
        <f>E14/E19</f>
        <v>31.294520547945183</v>
      </c>
    </row>
  </sheetData>
  <mergeCells count="1">
    <mergeCell ref="A1:O1"/>
  </mergeCells>
  <phoneticPr fontId="24" type="noConversion"/>
  <pageMargins left="0.25" right="0.25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1" workbookViewId="0">
      <selection activeCell="B39" sqref="B39"/>
    </sheetView>
  </sheetViews>
  <sheetFormatPr defaultColWidth="23.6640625" defaultRowHeight="14.4" x14ac:dyDescent="0.3"/>
  <cols>
    <col min="1" max="1" width="26.6640625" bestFit="1" customWidth="1"/>
    <col min="2" max="2" width="16.6640625" bestFit="1" customWidth="1"/>
    <col min="3" max="3" width="13.44140625" bestFit="1" customWidth="1"/>
    <col min="4" max="4" width="11.44140625" bestFit="1" customWidth="1"/>
    <col min="5" max="5" width="14.109375" bestFit="1" customWidth="1"/>
    <col min="6" max="6" width="12.33203125" bestFit="1" customWidth="1"/>
  </cols>
  <sheetData>
    <row r="1" spans="1:6" ht="18" x14ac:dyDescent="0.35">
      <c r="A1" s="103" t="s">
        <v>82</v>
      </c>
      <c r="B1" s="104"/>
      <c r="C1" s="104"/>
      <c r="D1" s="104"/>
      <c r="E1" s="104"/>
      <c r="F1" s="105"/>
    </row>
    <row r="2" spans="1:6" ht="18" x14ac:dyDescent="0.35">
      <c r="A2" s="7"/>
      <c r="B2" s="23" t="s">
        <v>48</v>
      </c>
      <c r="C2" s="23" t="s">
        <v>49</v>
      </c>
      <c r="D2" s="23" t="s">
        <v>50</v>
      </c>
      <c r="E2" s="23" t="s">
        <v>51</v>
      </c>
      <c r="F2" s="23" t="s">
        <v>52</v>
      </c>
    </row>
    <row r="3" spans="1:6" x14ac:dyDescent="0.3">
      <c r="A3" s="100" t="s">
        <v>81</v>
      </c>
      <c r="B3" s="101"/>
      <c r="C3" s="101"/>
      <c r="D3" s="101"/>
      <c r="E3" s="101"/>
      <c r="F3" s="102"/>
    </row>
    <row r="4" spans="1:6" x14ac:dyDescent="0.3">
      <c r="A4" s="8" t="s">
        <v>44</v>
      </c>
      <c r="B4" s="9"/>
      <c r="C4" s="9"/>
      <c r="D4" s="9"/>
      <c r="E4" s="10"/>
      <c r="F4" s="11"/>
    </row>
    <row r="5" spans="1:6" x14ac:dyDescent="0.3">
      <c r="A5" s="12" t="s">
        <v>53</v>
      </c>
      <c r="B5" s="6" t="e">
        <f>#REF!</f>
        <v>#REF!</v>
      </c>
      <c r="C5" s="6" t="e">
        <f>#REF!</f>
        <v>#REF!</v>
      </c>
      <c r="D5" s="6" t="e">
        <f>#REF!</f>
        <v>#REF!</v>
      </c>
      <c r="E5" s="6" t="e">
        <f>#REF!</f>
        <v>#REF!</v>
      </c>
      <c r="F5" s="6" t="e">
        <f>#REF!</f>
        <v>#REF!</v>
      </c>
    </row>
    <row r="6" spans="1:6" x14ac:dyDescent="0.3">
      <c r="A6" s="12" t="s">
        <v>54</v>
      </c>
      <c r="B6" s="24" t="e">
        <f>#REF!</f>
        <v>#REF!</v>
      </c>
      <c r="C6" s="24" t="e">
        <f>#REF!</f>
        <v>#REF!</v>
      </c>
      <c r="D6" s="24" t="e">
        <f>#REF!</f>
        <v>#REF!</v>
      </c>
      <c r="E6" s="24" t="e">
        <f>#REF!</f>
        <v>#REF!</v>
      </c>
      <c r="F6" s="24" t="e">
        <f>#REF!</f>
        <v>#REF!</v>
      </c>
    </row>
    <row r="7" spans="1:6" x14ac:dyDescent="0.3">
      <c r="A7" s="8" t="s">
        <v>1</v>
      </c>
      <c r="B7" s="25" t="e">
        <f>#REF!</f>
        <v>#REF!</v>
      </c>
      <c r="C7" s="25" t="e">
        <f>#REF!</f>
        <v>#REF!</v>
      </c>
      <c r="D7" s="25" t="e">
        <f>#REF!</f>
        <v>#REF!</v>
      </c>
      <c r="E7" s="25" t="e">
        <f>#REF!</f>
        <v>#REF!</v>
      </c>
      <c r="F7" s="25" t="e">
        <f>#REF!</f>
        <v>#REF!</v>
      </c>
    </row>
    <row r="8" spans="1:6" x14ac:dyDescent="0.3">
      <c r="A8" s="12" t="s">
        <v>54</v>
      </c>
      <c r="B8" s="24" t="e">
        <f>#REF!</f>
        <v>#REF!</v>
      </c>
      <c r="C8" s="24" t="e">
        <f>#REF!</f>
        <v>#REF!</v>
      </c>
      <c r="D8" s="24" t="e">
        <f>#REF!</f>
        <v>#REF!</v>
      </c>
      <c r="E8" s="24" t="e">
        <f>#REF!</f>
        <v>#REF!</v>
      </c>
      <c r="F8" s="24" t="e">
        <f>#REF!</f>
        <v>#REF!</v>
      </c>
    </row>
    <row r="9" spans="1:6" x14ac:dyDescent="0.3">
      <c r="A9" s="8" t="s">
        <v>55</v>
      </c>
      <c r="B9" s="15" t="e">
        <f>B7/B5</f>
        <v>#REF!</v>
      </c>
      <c r="C9" s="15" t="e">
        <f t="shared" ref="C9:F9" si="0">C7/C5</f>
        <v>#REF!</v>
      </c>
      <c r="D9" s="16" t="e">
        <f t="shared" si="0"/>
        <v>#REF!</v>
      </c>
      <c r="E9" s="15" t="e">
        <f t="shared" si="0"/>
        <v>#REF!</v>
      </c>
      <c r="F9" s="15" t="e">
        <f t="shared" si="0"/>
        <v>#REF!</v>
      </c>
    </row>
    <row r="10" spans="1:6" x14ac:dyDescent="0.3">
      <c r="A10" s="8" t="s">
        <v>8</v>
      </c>
      <c r="B10" s="25" t="e">
        <f>#REF!</f>
        <v>#REF!</v>
      </c>
      <c r="C10" s="25" t="e">
        <f>#REF!</f>
        <v>#REF!</v>
      </c>
      <c r="D10" s="25" t="e">
        <f>#REF!</f>
        <v>#REF!</v>
      </c>
      <c r="E10" s="25" t="e">
        <f>#REF!</f>
        <v>#REF!</v>
      </c>
      <c r="F10" s="25" t="e">
        <f>#REF!</f>
        <v>#REF!</v>
      </c>
    </row>
    <row r="11" spans="1:6" x14ac:dyDescent="0.3">
      <c r="A11" s="12" t="s">
        <v>54</v>
      </c>
      <c r="B11" s="24" t="e">
        <f>#REF!</f>
        <v>#REF!</v>
      </c>
      <c r="C11" s="24" t="e">
        <f>#REF!</f>
        <v>#REF!</v>
      </c>
      <c r="D11" s="24" t="e">
        <f>#REF!</f>
        <v>#REF!</v>
      </c>
      <c r="E11" s="24" t="e">
        <f>#REF!</f>
        <v>#REF!</v>
      </c>
      <c r="F11" s="24" t="e">
        <f>#REF!</f>
        <v>#REF!</v>
      </c>
    </row>
    <row r="12" spans="1:6" x14ac:dyDescent="0.3">
      <c r="A12" s="8" t="s">
        <v>56</v>
      </c>
      <c r="B12" s="15" t="e">
        <f>B10/B5</f>
        <v>#REF!</v>
      </c>
      <c r="C12" s="15" t="e">
        <f t="shared" ref="C12:F12" si="1">C10/C5</f>
        <v>#REF!</v>
      </c>
      <c r="D12" s="16" t="e">
        <f>D10/D5</f>
        <v>#REF!</v>
      </c>
      <c r="E12" s="15" t="e">
        <f t="shared" si="1"/>
        <v>#REF!</v>
      </c>
      <c r="F12" s="15" t="e">
        <f t="shared" si="1"/>
        <v>#REF!</v>
      </c>
    </row>
    <row r="13" spans="1:6" x14ac:dyDescent="0.3">
      <c r="A13" s="12" t="s">
        <v>10</v>
      </c>
      <c r="B13" s="6" t="e">
        <f>#REF!</f>
        <v>#REF!</v>
      </c>
      <c r="C13" s="6" t="e">
        <f>#REF!</f>
        <v>#REF!</v>
      </c>
      <c r="D13" s="6" t="e">
        <f>#REF!</f>
        <v>#REF!</v>
      </c>
      <c r="E13" s="6" t="e">
        <f>#REF!</f>
        <v>#REF!</v>
      </c>
      <c r="F13" s="6" t="e">
        <f>#REF!</f>
        <v>#REF!</v>
      </c>
    </row>
    <row r="14" spans="1:6" x14ac:dyDescent="0.3">
      <c r="A14" s="17"/>
      <c r="B14" s="18"/>
      <c r="C14" s="18"/>
      <c r="D14" s="18"/>
      <c r="E14" s="18"/>
      <c r="F14" s="19"/>
    </row>
    <row r="15" spans="1:6" x14ac:dyDescent="0.3">
      <c r="A15" s="17"/>
      <c r="B15" s="18"/>
      <c r="C15" s="18"/>
      <c r="D15" s="18"/>
      <c r="E15" s="18"/>
      <c r="F15" s="19"/>
    </row>
    <row r="16" spans="1:6" x14ac:dyDescent="0.3">
      <c r="A16" s="100" t="s">
        <v>57</v>
      </c>
      <c r="B16" s="101"/>
      <c r="C16" s="101"/>
      <c r="D16" s="101"/>
      <c r="E16" s="101"/>
      <c r="F16" s="102"/>
    </row>
    <row r="17" spans="1:6" x14ac:dyDescent="0.3">
      <c r="A17" s="8" t="s">
        <v>58</v>
      </c>
      <c r="B17" s="6" t="e">
        <f>#REF!</f>
        <v>#REF!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</row>
    <row r="18" spans="1:6" x14ac:dyDescent="0.3">
      <c r="A18" s="8" t="s">
        <v>39</v>
      </c>
      <c r="B18" s="6" t="e">
        <f>#REF!</f>
        <v>#REF!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</row>
    <row r="19" spans="1:6" x14ac:dyDescent="0.3">
      <c r="A19" s="20" t="s">
        <v>59</v>
      </c>
      <c r="B19" s="6" t="e">
        <f>#REF!</f>
        <v>#REF!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</row>
    <row r="20" spans="1:6" x14ac:dyDescent="0.3">
      <c r="A20" s="20" t="s">
        <v>60</v>
      </c>
      <c r="B20" s="6" t="e">
        <f>#REF!</f>
        <v>#REF!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</row>
    <row r="21" spans="1:6" x14ac:dyDescent="0.3">
      <c r="A21" s="17"/>
      <c r="B21" s="18"/>
      <c r="C21" s="18"/>
      <c r="D21" s="18"/>
      <c r="E21" s="18"/>
      <c r="F21" s="18"/>
    </row>
    <row r="22" spans="1:6" x14ac:dyDescent="0.3">
      <c r="A22" s="17"/>
      <c r="B22" s="18"/>
      <c r="C22" s="18"/>
      <c r="D22" s="18"/>
      <c r="E22" s="18"/>
      <c r="F22" s="18"/>
    </row>
    <row r="23" spans="1:6" x14ac:dyDescent="0.3">
      <c r="A23" s="106" t="s">
        <v>11</v>
      </c>
      <c r="B23" s="106"/>
      <c r="C23" s="106"/>
      <c r="D23" s="106"/>
      <c r="E23" s="106"/>
      <c r="F23" s="106"/>
    </row>
    <row r="24" spans="1:6" x14ac:dyDescent="0.3">
      <c r="A24" s="9" t="s">
        <v>61</v>
      </c>
      <c r="B24" s="5"/>
      <c r="C24" s="13"/>
      <c r="D24" s="13"/>
      <c r="E24" s="13"/>
      <c r="F24" s="13"/>
    </row>
    <row r="25" spans="1:6" x14ac:dyDescent="0.3">
      <c r="A25" s="9" t="s">
        <v>16</v>
      </c>
      <c r="B25" s="21"/>
      <c r="C25" s="14"/>
      <c r="D25" s="14"/>
      <c r="E25" s="14"/>
      <c r="F25" s="14"/>
    </row>
    <row r="26" spans="1:6" x14ac:dyDescent="0.3">
      <c r="A26" s="5"/>
      <c r="B26" s="5"/>
      <c r="C26" s="5"/>
      <c r="D26" s="5"/>
      <c r="E26" s="5"/>
      <c r="F26" s="5"/>
    </row>
    <row r="27" spans="1:6" x14ac:dyDescent="0.3">
      <c r="A27" s="9" t="s">
        <v>36</v>
      </c>
      <c r="B27" s="21" t="e">
        <f>#REF!</f>
        <v>#REF!</v>
      </c>
      <c r="C27" s="21" t="e">
        <f>#REF!</f>
        <v>#REF!</v>
      </c>
      <c r="D27" s="21" t="e">
        <f>#REF!</f>
        <v>#REF!</v>
      </c>
      <c r="E27" s="21" t="e">
        <f>#REF!</f>
        <v>#REF!</v>
      </c>
      <c r="F27" s="21" t="e">
        <f>#REF!</f>
        <v>#REF!</v>
      </c>
    </row>
    <row r="28" spans="1:6" x14ac:dyDescent="0.3">
      <c r="A28" s="9" t="s">
        <v>62</v>
      </c>
      <c r="B28" s="6" t="e">
        <f>#REF!</f>
        <v>#REF!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</row>
    <row r="29" spans="1:6" x14ac:dyDescent="0.3">
      <c r="A29" s="17"/>
      <c r="B29" s="18"/>
      <c r="C29" s="18"/>
      <c r="D29" s="18"/>
      <c r="E29" s="107"/>
      <c r="F29" s="108"/>
    </row>
    <row r="30" spans="1:6" x14ac:dyDescent="0.3">
      <c r="A30" s="17"/>
      <c r="B30" s="18"/>
      <c r="C30" s="18"/>
      <c r="D30" s="18"/>
      <c r="E30" s="109"/>
      <c r="F30" s="110"/>
    </row>
    <row r="31" spans="1:6" x14ac:dyDescent="0.3">
      <c r="A31" s="100" t="s">
        <v>63</v>
      </c>
      <c r="B31" s="101"/>
      <c r="C31" s="101"/>
      <c r="D31" s="101"/>
      <c r="E31" s="101"/>
      <c r="F31" s="102"/>
    </row>
    <row r="32" spans="1:6" x14ac:dyDescent="0.3">
      <c r="A32" s="12" t="s">
        <v>64</v>
      </c>
      <c r="B32" s="26" t="e">
        <f>#REF!</f>
        <v>#REF!</v>
      </c>
      <c r="C32" s="26" t="e">
        <f>#REF!</f>
        <v>#REF!</v>
      </c>
      <c r="D32" s="26" t="e">
        <f>#REF!</f>
        <v>#REF!</v>
      </c>
      <c r="E32" s="26" t="e">
        <f>#REF!</f>
        <v>#REF!</v>
      </c>
      <c r="F32" s="26" t="e">
        <f>#REF!</f>
        <v>#REF!</v>
      </c>
    </row>
    <row r="33" spans="1:6" x14ac:dyDescent="0.3">
      <c r="A33" s="12" t="s">
        <v>28</v>
      </c>
      <c r="B33" s="27" t="e">
        <f>#REF!</f>
        <v>#REF!</v>
      </c>
      <c r="C33" s="27" t="e">
        <f>#REF!</f>
        <v>#REF!</v>
      </c>
      <c r="D33" s="27" t="e">
        <f>#REF!</f>
        <v>#REF!</v>
      </c>
      <c r="E33" s="27" t="e">
        <f>#REF!</f>
        <v>#REF!</v>
      </c>
      <c r="F33" s="27" t="e">
        <f>#REF!</f>
        <v>#REF!</v>
      </c>
    </row>
    <row r="34" spans="1:6" x14ac:dyDescent="0.3">
      <c r="A34" s="12" t="s">
        <v>65</v>
      </c>
      <c r="B34" s="6" t="e">
        <f>#REF!</f>
        <v>#REF!</v>
      </c>
      <c r="C34" s="6" t="e">
        <f>#REF!</f>
        <v>#REF!</v>
      </c>
      <c r="D34" s="6" t="e">
        <f>#REF!</f>
        <v>#REF!</v>
      </c>
      <c r="E34" s="6" t="e">
        <f>#REF!</f>
        <v>#REF!</v>
      </c>
      <c r="F34" s="6" t="e">
        <f>#REF!</f>
        <v>#REF!</v>
      </c>
    </row>
    <row r="35" spans="1:6" x14ac:dyDescent="0.3">
      <c r="A35" s="12" t="s">
        <v>66</v>
      </c>
      <c r="B35" s="6" t="e">
        <f>#REF!</f>
        <v>#REF!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</row>
    <row r="36" spans="1:6" x14ac:dyDescent="0.3">
      <c r="A36" s="17"/>
      <c r="B36" s="18"/>
      <c r="C36" s="18"/>
      <c r="D36" s="18"/>
      <c r="E36" s="18"/>
      <c r="F36" s="19"/>
    </row>
    <row r="37" spans="1:6" x14ac:dyDescent="0.3">
      <c r="A37" s="100" t="s">
        <v>67</v>
      </c>
      <c r="B37" s="101"/>
      <c r="C37" s="101"/>
      <c r="D37" s="101"/>
      <c r="E37" s="101"/>
      <c r="F37" s="102"/>
    </row>
    <row r="38" spans="1:6" x14ac:dyDescent="0.3">
      <c r="A38" s="8" t="s">
        <v>68</v>
      </c>
      <c r="B38" s="9"/>
      <c r="C38" s="9"/>
      <c r="D38" s="9"/>
      <c r="E38" s="10"/>
      <c r="F38" s="11"/>
    </row>
    <row r="39" spans="1:6" x14ac:dyDescent="0.3">
      <c r="A39" s="12" t="s">
        <v>69</v>
      </c>
      <c r="B39" s="6" t="e">
        <f>#REF!</f>
        <v>#REF!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</row>
    <row r="40" spans="1:6" x14ac:dyDescent="0.3">
      <c r="A40" s="12" t="s">
        <v>70</v>
      </c>
      <c r="B40" s="6" t="e">
        <f>#REF!</f>
        <v>#REF!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</row>
    <row r="41" spans="1:6" x14ac:dyDescent="0.3">
      <c r="A41" s="12" t="s">
        <v>71</v>
      </c>
      <c r="B41" s="24" t="e">
        <f>#REF!</f>
        <v>#REF!</v>
      </c>
      <c r="C41" s="24" t="e">
        <f>#REF!</f>
        <v>#REF!</v>
      </c>
      <c r="D41" s="24" t="e">
        <f>#REF!</f>
        <v>#REF!</v>
      </c>
      <c r="E41" s="24" t="e">
        <f>#REF!</f>
        <v>#REF!</v>
      </c>
      <c r="F41" s="24" t="e">
        <f>#REF!</f>
        <v>#REF!</v>
      </c>
    </row>
    <row r="42" spans="1:6" x14ac:dyDescent="0.3">
      <c r="A42" s="12" t="s">
        <v>72</v>
      </c>
      <c r="B42" s="24" t="e">
        <f>#REF!</f>
        <v>#REF!</v>
      </c>
      <c r="C42" s="24" t="e">
        <f>#REF!</f>
        <v>#REF!</v>
      </c>
      <c r="D42" s="24" t="e">
        <f>#REF!</f>
        <v>#REF!</v>
      </c>
      <c r="E42" s="24" t="e">
        <f>#REF!</f>
        <v>#REF!</v>
      </c>
      <c r="F42" s="24" t="e">
        <f>#REF!</f>
        <v>#REF!</v>
      </c>
    </row>
    <row r="43" spans="1:6" x14ac:dyDescent="0.3">
      <c r="A43" s="12" t="s">
        <v>73</v>
      </c>
      <c r="B43" s="28" t="e">
        <f>#REF!</f>
        <v>#REF!</v>
      </c>
      <c r="C43" s="28" t="e">
        <f>#REF!</f>
        <v>#REF!</v>
      </c>
      <c r="D43" s="28" t="e">
        <f>#REF!</f>
        <v>#REF!</v>
      </c>
      <c r="E43" s="28" t="e">
        <f>#REF!</f>
        <v>#REF!</v>
      </c>
      <c r="F43" s="28" t="e">
        <f>#REF!</f>
        <v>#REF!</v>
      </c>
    </row>
    <row r="44" spans="1:6" x14ac:dyDescent="0.3">
      <c r="A44" s="12" t="s">
        <v>74</v>
      </c>
      <c r="B44" s="29" t="e">
        <f>#REF!</f>
        <v>#REF!</v>
      </c>
      <c r="C44" s="29" t="e">
        <f>#REF!</f>
        <v>#REF!</v>
      </c>
      <c r="D44" s="29" t="e">
        <f>#REF!</f>
        <v>#REF!</v>
      </c>
      <c r="E44" s="29" t="e">
        <f>#REF!</f>
        <v>#REF!</v>
      </c>
      <c r="F44" s="29" t="e">
        <f>#REF!</f>
        <v>#REF!</v>
      </c>
    </row>
    <row r="45" spans="1:6" x14ac:dyDescent="0.3">
      <c r="A45" s="12" t="s">
        <v>31</v>
      </c>
      <c r="B45" s="29" t="e">
        <f>#REF!</f>
        <v>#REF!</v>
      </c>
      <c r="C45" s="29" t="e">
        <f>#REF!</f>
        <v>#REF!</v>
      </c>
      <c r="D45" s="29" t="e">
        <f>#REF!</f>
        <v>#REF!</v>
      </c>
      <c r="E45" s="29" t="e">
        <f>#REF!</f>
        <v>#REF!</v>
      </c>
      <c r="F45" s="29" t="e">
        <f>#REF!</f>
        <v>#REF!</v>
      </c>
    </row>
    <row r="46" spans="1:6" x14ac:dyDescent="0.3">
      <c r="A46" s="12" t="s">
        <v>75</v>
      </c>
      <c r="B46" s="30" t="e">
        <f>#REF!</f>
        <v>#REF!</v>
      </c>
      <c r="C46" s="30" t="e">
        <f>#REF!</f>
        <v>#REF!</v>
      </c>
      <c r="D46" s="30" t="e">
        <f>#REF!</f>
        <v>#REF!</v>
      </c>
      <c r="E46" s="30" t="e">
        <f>#REF!</f>
        <v>#REF!</v>
      </c>
      <c r="F46" s="30" t="e">
        <f>#REF!</f>
        <v>#REF!</v>
      </c>
    </row>
    <row r="47" spans="1:6" x14ac:dyDescent="0.3">
      <c r="A47" s="12" t="s">
        <v>76</v>
      </c>
      <c r="B47" s="30" t="e">
        <f>#REF!</f>
        <v>#REF!</v>
      </c>
      <c r="C47" s="30" t="e">
        <f>#REF!</f>
        <v>#REF!</v>
      </c>
      <c r="D47" s="30" t="e">
        <f>#REF!</f>
        <v>#REF!</v>
      </c>
      <c r="E47" s="30" t="e">
        <f>#REF!</f>
        <v>#REF!</v>
      </c>
      <c r="F47" s="30" t="e">
        <f>#REF!</f>
        <v>#REF!</v>
      </c>
    </row>
    <row r="48" spans="1:6" x14ac:dyDescent="0.3">
      <c r="A48" s="12" t="s">
        <v>32</v>
      </c>
      <c r="B48" s="31" t="e">
        <f>#REF!</f>
        <v>#REF!</v>
      </c>
      <c r="C48" s="31" t="e">
        <f>#REF!</f>
        <v>#REF!</v>
      </c>
      <c r="D48" s="31" t="e">
        <f>#REF!</f>
        <v>#REF!</v>
      </c>
      <c r="E48" s="31" t="e">
        <f>#REF!</f>
        <v>#REF!</v>
      </c>
      <c r="F48" s="31" t="e">
        <f>#REF!</f>
        <v>#REF!</v>
      </c>
    </row>
    <row r="49" spans="1:6" x14ac:dyDescent="0.3">
      <c r="A49" s="12" t="s">
        <v>77</v>
      </c>
      <c r="B49" s="32" t="e">
        <f>#REF!</f>
        <v>#REF!</v>
      </c>
      <c r="C49" s="32" t="e">
        <f>#REF!</f>
        <v>#REF!</v>
      </c>
      <c r="D49" s="32" t="e">
        <f>#REF!</f>
        <v>#REF!</v>
      </c>
      <c r="E49" s="32" t="e">
        <f>#REF!</f>
        <v>#REF!</v>
      </c>
      <c r="F49" s="32" t="e">
        <f>#REF!</f>
        <v>#REF!</v>
      </c>
    </row>
    <row r="50" spans="1:6" x14ac:dyDescent="0.3">
      <c r="A50" s="12" t="s">
        <v>78</v>
      </c>
      <c r="B50" s="32" t="e">
        <f>#REF!</f>
        <v>#REF!</v>
      </c>
      <c r="C50" s="32" t="e">
        <f>#REF!</f>
        <v>#REF!</v>
      </c>
      <c r="D50" s="32" t="e">
        <f>#REF!</f>
        <v>#REF!</v>
      </c>
      <c r="E50" s="32" t="e">
        <f>#REF!</f>
        <v>#REF!</v>
      </c>
      <c r="F50" s="32" t="e">
        <f>#REF!</f>
        <v>#REF!</v>
      </c>
    </row>
    <row r="51" spans="1:6" x14ac:dyDescent="0.3">
      <c r="A51" s="12" t="s">
        <v>79</v>
      </c>
      <c r="B51" s="32" t="e">
        <f>#REF!</f>
        <v>#REF!</v>
      </c>
      <c r="C51" s="32" t="e">
        <f>#REF!</f>
        <v>#REF!</v>
      </c>
      <c r="D51" s="32" t="e">
        <f>#REF!</f>
        <v>#REF!</v>
      </c>
      <c r="E51" s="32" t="e">
        <f>#REF!</f>
        <v>#REF!</v>
      </c>
      <c r="F51" s="32" t="e">
        <f>#REF!</f>
        <v>#REF!</v>
      </c>
    </row>
    <row r="52" spans="1:6" ht="15" thickBot="1" x14ac:dyDescent="0.35">
      <c r="A52" s="22" t="s">
        <v>80</v>
      </c>
      <c r="B52" s="33" t="e">
        <f>#REF!</f>
        <v>#REF!</v>
      </c>
      <c r="C52" s="33" t="e">
        <f>#REF!</f>
        <v>#REF!</v>
      </c>
      <c r="D52" s="33" t="e">
        <f>#REF!</f>
        <v>#REF!</v>
      </c>
      <c r="E52" s="33" t="e">
        <f>#REF!</f>
        <v>#REF!</v>
      </c>
      <c r="F52" s="33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 Latest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2024-12-02T06:43:13Z</cp:lastPrinted>
  <dcterms:created xsi:type="dcterms:W3CDTF">2017-09-19T08:05:47Z</dcterms:created>
  <dcterms:modified xsi:type="dcterms:W3CDTF">2025-06-12T11:04:56Z</dcterms:modified>
</cp:coreProperties>
</file>