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Lenovo\Desktop\Q4 - Summary sheet &amp; Fact sheet\"/>
    </mc:Choice>
  </mc:AlternateContent>
  <bookViews>
    <workbookView xWindow="0" yWindow="0" windowWidth="23040" windowHeight="9192" tabRatio="599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91" i="1" l="1"/>
  <c r="T90" i="1"/>
  <c r="T89" i="1"/>
  <c r="T88" i="1"/>
  <c r="T87" i="1"/>
  <c r="T86" i="1"/>
  <c r="T84" i="1"/>
  <c r="T83" i="1"/>
  <c r="T82" i="1"/>
  <c r="T81" i="1"/>
  <c r="S80" i="1"/>
  <c r="T80" i="1"/>
  <c r="T79" i="1"/>
  <c r="T78" i="1"/>
  <c r="T77" i="1"/>
  <c r="S75" i="1"/>
  <c r="R75" i="1"/>
  <c r="T75" i="1"/>
  <c r="S66" i="1"/>
  <c r="T14" i="1"/>
  <c r="K64" i="1"/>
  <c r="K61" i="1"/>
  <c r="K60" i="1"/>
  <c r="K44" i="1"/>
  <c r="K46" i="1"/>
  <c r="K21" i="1"/>
  <c r="K14" i="1"/>
  <c r="K17" i="1"/>
  <c r="K16" i="1"/>
  <c r="J15" i="1"/>
  <c r="K15" i="1"/>
  <c r="J7" i="1"/>
  <c r="K7" i="1"/>
  <c r="K6" i="1"/>
  <c r="J6" i="1" l="1"/>
  <c r="I6" i="1"/>
  <c r="H6" i="1"/>
  <c r="G6" i="1"/>
  <c r="K56" i="1"/>
  <c r="T85" i="1"/>
  <c r="T74" i="1"/>
  <c r="T55" i="1"/>
  <c r="T64" i="1"/>
  <c r="T46" i="1"/>
  <c r="T52" i="1" s="1"/>
  <c r="T43" i="1"/>
  <c r="T31" i="1"/>
  <c r="T12" i="1"/>
  <c r="K72" i="1" s="1"/>
  <c r="T8" i="1"/>
  <c r="T7" i="1"/>
  <c r="K73" i="1"/>
  <c r="K69" i="1"/>
  <c r="K71" i="1" s="1"/>
  <c r="K66" i="1"/>
  <c r="K53" i="1"/>
  <c r="K52" i="1"/>
  <c r="K34" i="1"/>
  <c r="K29" i="1"/>
  <c r="K24" i="1"/>
  <c r="O43" i="1"/>
  <c r="N12" i="1"/>
  <c r="F65" i="1"/>
  <c r="O85" i="1"/>
  <c r="P85" i="1"/>
  <c r="Q85" i="1"/>
  <c r="R85" i="1"/>
  <c r="S85" i="1"/>
  <c r="N85" i="1"/>
  <c r="N79" i="1"/>
  <c r="G53" i="1"/>
  <c r="H53" i="1"/>
  <c r="I53" i="1"/>
  <c r="F53" i="1"/>
  <c r="G52" i="1"/>
  <c r="F52" i="1"/>
  <c r="G7" i="1"/>
  <c r="H7" i="1"/>
  <c r="F7" i="1"/>
  <c r="F6" i="1"/>
  <c r="E69" i="1"/>
  <c r="P8" i="1"/>
  <c r="P75" i="1" s="1"/>
  <c r="P78" i="1" s="1"/>
  <c r="O12" i="1"/>
  <c r="O83" i="1" s="1"/>
  <c r="P12" i="1"/>
  <c r="P84" i="1" s="1"/>
  <c r="Q12" i="1"/>
  <c r="R12" i="1"/>
  <c r="S12" i="1"/>
  <c r="P89" i="1"/>
  <c r="Q89" i="1"/>
  <c r="Q90" i="1" s="1"/>
  <c r="R89" i="1"/>
  <c r="R90" i="1" s="1"/>
  <c r="S89" i="1"/>
  <c r="O89" i="1"/>
  <c r="N7" i="1"/>
  <c r="P88" i="1"/>
  <c r="Q88" i="1"/>
  <c r="R88" i="1"/>
  <c r="S88" i="1"/>
  <c r="O88" i="1"/>
  <c r="S87" i="1"/>
  <c r="O87" i="1"/>
  <c r="O90" i="1" s="1"/>
  <c r="E73" i="1"/>
  <c r="J73" i="1"/>
  <c r="S31" i="1"/>
  <c r="J60" i="1"/>
  <c r="J61" i="1"/>
  <c r="J53" i="1"/>
  <c r="F29" i="1"/>
  <c r="F30" i="1" s="1"/>
  <c r="F21" i="1"/>
  <c r="F31" i="1" s="1"/>
  <c r="F35" i="1" s="1"/>
  <c r="J14" i="1"/>
  <c r="F14" i="1"/>
  <c r="F16" i="1" s="1"/>
  <c r="F15" i="1"/>
  <c r="H14" i="1"/>
  <c r="H17" i="1" s="1"/>
  <c r="H15" i="1"/>
  <c r="G14" i="1"/>
  <c r="P79" i="1" s="1"/>
  <c r="I14" i="1"/>
  <c r="R79" i="1" s="1"/>
  <c r="R7" i="1"/>
  <c r="Q7" i="1"/>
  <c r="P7" i="1"/>
  <c r="O7" i="1"/>
  <c r="E71" i="1"/>
  <c r="F69" i="1"/>
  <c r="F71" i="1" s="1"/>
  <c r="G69" i="1"/>
  <c r="G71" i="1" s="1"/>
  <c r="H69" i="1"/>
  <c r="H71" i="1" s="1"/>
  <c r="I69" i="1"/>
  <c r="I71" i="1" s="1"/>
  <c r="S55" i="1"/>
  <c r="S64" i="1"/>
  <c r="R55" i="1"/>
  <c r="R64" i="1" s="1"/>
  <c r="S46" i="1"/>
  <c r="S52" i="1" s="1"/>
  <c r="S69" i="1" s="1"/>
  <c r="S70" i="1" s="1"/>
  <c r="R46" i="1"/>
  <c r="R52" i="1" s="1"/>
  <c r="J21" i="1"/>
  <c r="S86" i="1" s="1"/>
  <c r="N74" i="1"/>
  <c r="N77" i="1" s="1"/>
  <c r="S74" i="1"/>
  <c r="S77" i="1" s="1"/>
  <c r="S43" i="1"/>
  <c r="S91" i="1"/>
  <c r="R43" i="1"/>
  <c r="R68" i="1" s="1"/>
  <c r="R31" i="1"/>
  <c r="J69" i="1"/>
  <c r="J71" i="1"/>
  <c r="J44" i="1"/>
  <c r="I44" i="1"/>
  <c r="H44" i="1"/>
  <c r="G44" i="1"/>
  <c r="F44" i="1"/>
  <c r="H29" i="1"/>
  <c r="G29" i="1"/>
  <c r="J29" i="1"/>
  <c r="I29" i="1"/>
  <c r="I34" i="1"/>
  <c r="J34" i="1"/>
  <c r="J52" i="1"/>
  <c r="S7" i="1"/>
  <c r="S8" i="1"/>
  <c r="J64" i="1"/>
  <c r="J66" i="1"/>
  <c r="S83" i="1"/>
  <c r="P87" i="1"/>
  <c r="Q87" i="1"/>
  <c r="R87" i="1"/>
  <c r="S78" i="1"/>
  <c r="O74" i="1"/>
  <c r="O77" i="1" s="1"/>
  <c r="P74" i="1"/>
  <c r="P77" i="1" s="1"/>
  <c r="Q74" i="1"/>
  <c r="Q77" i="1" s="1"/>
  <c r="R74" i="1"/>
  <c r="R77" i="1" s="1"/>
  <c r="F73" i="1"/>
  <c r="G73" i="1"/>
  <c r="H73" i="1"/>
  <c r="I73" i="1"/>
  <c r="F64" i="1"/>
  <c r="F66" i="1" s="1"/>
  <c r="G64" i="1"/>
  <c r="G66" i="1"/>
  <c r="H64" i="1"/>
  <c r="H66" i="1" s="1"/>
  <c r="I64" i="1"/>
  <c r="I66" i="1"/>
  <c r="E64" i="1"/>
  <c r="E66" i="1" s="1"/>
  <c r="G60" i="1"/>
  <c r="G61" i="1"/>
  <c r="F60" i="1"/>
  <c r="F61" i="1" s="1"/>
  <c r="H60" i="1"/>
  <c r="H61" i="1" s="1"/>
  <c r="I60" i="1"/>
  <c r="I61" i="1" s="1"/>
  <c r="E60" i="1"/>
  <c r="E61" i="1"/>
  <c r="J24" i="1"/>
  <c r="J31" i="1" s="1"/>
  <c r="J35" i="1" s="1"/>
  <c r="N55" i="1"/>
  <c r="N64" i="1"/>
  <c r="N46" i="1"/>
  <c r="N52" i="1" s="1"/>
  <c r="N69" i="1" s="1"/>
  <c r="N70" i="1" s="1"/>
  <c r="N80" i="1" s="1"/>
  <c r="N43" i="1"/>
  <c r="N91" i="1" s="1"/>
  <c r="N31" i="1"/>
  <c r="N68" i="1" s="1"/>
  <c r="N14" i="1" s="1"/>
  <c r="O8" i="1"/>
  <c r="N8" i="1"/>
  <c r="I7" i="1"/>
  <c r="H52" i="1"/>
  <c r="I52" i="1"/>
  <c r="F34" i="1"/>
  <c r="G34" i="1"/>
  <c r="H34" i="1"/>
  <c r="P43" i="1"/>
  <c r="P68" i="1" s="1"/>
  <c r="P14" i="1" s="1"/>
  <c r="P55" i="1"/>
  <c r="P64" i="1"/>
  <c r="P91" i="1" s="1"/>
  <c r="O55" i="1"/>
  <c r="O64" i="1" s="1"/>
  <c r="Q55" i="1"/>
  <c r="Q64" i="1" s="1"/>
  <c r="O46" i="1"/>
  <c r="O52" i="1"/>
  <c r="P46" i="1"/>
  <c r="P52" i="1"/>
  <c r="P69" i="1" s="1"/>
  <c r="P70" i="1" s="1"/>
  <c r="P80" i="1" s="1"/>
  <c r="Q46" i="1"/>
  <c r="Q52" i="1" s="1"/>
  <c r="Q69" i="1" s="1"/>
  <c r="Q70" i="1" s="1"/>
  <c r="Q80" i="1" s="1"/>
  <c r="Q43" i="1"/>
  <c r="O31" i="1"/>
  <c r="P31" i="1"/>
  <c r="Q31" i="1"/>
  <c r="R8" i="1"/>
  <c r="R83" i="1"/>
  <c r="Q8" i="1"/>
  <c r="Q83" i="1" s="1"/>
  <c r="N83" i="1"/>
  <c r="J16" i="1"/>
  <c r="N81" i="1"/>
  <c r="R78" i="1"/>
  <c r="R84" i="1"/>
  <c r="I72" i="1"/>
  <c r="H72" i="1"/>
  <c r="E72" i="1"/>
  <c r="T68" i="1" l="1"/>
  <c r="T66" i="1"/>
  <c r="T69" i="1"/>
  <c r="T70" i="1" s="1"/>
  <c r="K31" i="1"/>
  <c r="K35" i="1" s="1"/>
  <c r="K30" i="1"/>
  <c r="K74" i="1"/>
  <c r="O66" i="1"/>
  <c r="O91" i="1"/>
  <c r="J36" i="1"/>
  <c r="S81" i="1"/>
  <c r="J46" i="1"/>
  <c r="O69" i="1"/>
  <c r="O70" i="1" s="1"/>
  <c r="O80" i="1" s="1"/>
  <c r="R69" i="1"/>
  <c r="R70" i="1" s="1"/>
  <c r="R80" i="1" s="1"/>
  <c r="R66" i="1"/>
  <c r="S90" i="1"/>
  <c r="I17" i="1"/>
  <c r="N66" i="1"/>
  <c r="J17" i="1"/>
  <c r="Q68" i="1"/>
  <c r="Q14" i="1" s="1"/>
  <c r="Q82" i="1" s="1"/>
  <c r="S68" i="1"/>
  <c r="S14" i="1" s="1"/>
  <c r="F24" i="1"/>
  <c r="S84" i="1"/>
  <c r="O75" i="1"/>
  <c r="O78" i="1" s="1"/>
  <c r="G72" i="1"/>
  <c r="P66" i="1"/>
  <c r="N75" i="1"/>
  <c r="N78" i="1" s="1"/>
  <c r="J30" i="1"/>
  <c r="P90" i="1"/>
  <c r="R14" i="1"/>
  <c r="I21" i="1"/>
  <c r="I15" i="1"/>
  <c r="N84" i="1"/>
  <c r="Q84" i="1"/>
  <c r="O68" i="1"/>
  <c r="O14" i="1" s="1"/>
  <c r="P82" i="1" s="1"/>
  <c r="O81" i="1"/>
  <c r="F36" i="1"/>
  <c r="F46" i="1"/>
  <c r="F37" i="1"/>
  <c r="F38" i="1"/>
  <c r="N82" i="1"/>
  <c r="R82" i="1"/>
  <c r="J74" i="1"/>
  <c r="S79" i="1" s="1"/>
  <c r="G16" i="1"/>
  <c r="Q75" i="1"/>
  <c r="Q78" i="1" s="1"/>
  <c r="J72" i="1"/>
  <c r="H16" i="1"/>
  <c r="F17" i="1"/>
  <c r="F72" i="1"/>
  <c r="O84" i="1"/>
  <c r="I16" i="1"/>
  <c r="Q91" i="1"/>
  <c r="R91" i="1"/>
  <c r="G15" i="1"/>
  <c r="O86" i="1"/>
  <c r="G17" i="1"/>
  <c r="O79" i="1"/>
  <c r="H21" i="1"/>
  <c r="H30" i="1" s="1"/>
  <c r="Q79" i="1"/>
  <c r="Q66" i="1"/>
  <c r="G21" i="1"/>
  <c r="P83" i="1"/>
  <c r="K37" i="1" l="1"/>
  <c r="K38" i="1"/>
  <c r="K36" i="1"/>
  <c r="K48" i="1"/>
  <c r="K47" i="1"/>
  <c r="O82" i="1"/>
  <c r="I24" i="1"/>
  <c r="R86" i="1"/>
  <c r="I31" i="1"/>
  <c r="I35" i="1" s="1"/>
  <c r="S82" i="1"/>
  <c r="I30" i="1"/>
  <c r="F48" i="1"/>
  <c r="F47" i="1"/>
  <c r="H31" i="1"/>
  <c r="H35" i="1" s="1"/>
  <c r="Q86" i="1"/>
  <c r="H24" i="1"/>
  <c r="G31" i="1"/>
  <c r="G35" i="1" s="1"/>
  <c r="G24" i="1"/>
  <c r="P86" i="1"/>
  <c r="G30" i="1"/>
  <c r="I36" i="1" l="1"/>
  <c r="I46" i="1"/>
  <c r="I38" i="1"/>
  <c r="J37" i="1"/>
  <c r="R81" i="1"/>
  <c r="G37" i="1"/>
  <c r="J38" i="1"/>
  <c r="G36" i="1"/>
  <c r="G46" i="1"/>
  <c r="P81" i="1"/>
  <c r="G38" i="1"/>
  <c r="H36" i="1"/>
  <c r="H38" i="1"/>
  <c r="Q81" i="1"/>
  <c r="H37" i="1"/>
  <c r="H46" i="1"/>
  <c r="I37" i="1"/>
  <c r="I48" i="1" l="1"/>
  <c r="J47" i="1"/>
  <c r="G47" i="1"/>
  <c r="G48" i="1"/>
  <c r="J48" i="1"/>
  <c r="H48" i="1"/>
  <c r="H47" i="1"/>
  <c r="I47" i="1"/>
</calcChain>
</file>

<file path=xl/sharedStrings.xml><?xml version="1.0" encoding="utf-8"?>
<sst xmlns="http://schemas.openxmlformats.org/spreadsheetml/2006/main" count="216" uniqueCount="150">
  <si>
    <t>March Year Ended (INR Mn)</t>
  </si>
  <si>
    <t>FY17</t>
  </si>
  <si>
    <t>FY18</t>
  </si>
  <si>
    <t>FY19</t>
  </si>
  <si>
    <t>FY20</t>
  </si>
  <si>
    <t>FY21</t>
  </si>
  <si>
    <t>FY22</t>
  </si>
  <si>
    <t>FY23</t>
  </si>
  <si>
    <t>Share Capital</t>
  </si>
  <si>
    <t>Long Term Debt</t>
  </si>
  <si>
    <t>Short Term Debt</t>
  </si>
  <si>
    <t>Capital Employed</t>
  </si>
  <si>
    <t>Other Equity</t>
  </si>
  <si>
    <t>Total Equity</t>
  </si>
  <si>
    <t xml:space="preserve">Networth/Shareholder's Fund/Book value </t>
  </si>
  <si>
    <t>Minority Interest/Non Controlling Interest</t>
  </si>
  <si>
    <t>Total Loans</t>
  </si>
  <si>
    <t xml:space="preserve">Gross Block </t>
  </si>
  <si>
    <t xml:space="preserve">a) Property Plant &amp; Equipment </t>
  </si>
  <si>
    <t xml:space="preserve">b) Right-of-use Assets </t>
  </si>
  <si>
    <t>c) Capital Work in Progress</t>
  </si>
  <si>
    <t>d) Other Intangible Assets</t>
  </si>
  <si>
    <t xml:space="preserve">e) Intangible Assets under Development </t>
  </si>
  <si>
    <t xml:space="preserve">f) Goodwill on Consolidation </t>
  </si>
  <si>
    <t>g) Financial Assets:</t>
  </si>
  <si>
    <t xml:space="preserve">i)   Investments </t>
  </si>
  <si>
    <t xml:space="preserve">ii)  Loans </t>
  </si>
  <si>
    <t>iii)Other Financial Assets</t>
  </si>
  <si>
    <t>h) Income Tax Assets (Net)</t>
  </si>
  <si>
    <t>Total Non Current Assets</t>
  </si>
  <si>
    <t>Current Assets:</t>
  </si>
  <si>
    <t>Non-Current Assets:</t>
  </si>
  <si>
    <t xml:space="preserve">a) Inventories </t>
  </si>
  <si>
    <t>b) Financial Assets</t>
  </si>
  <si>
    <t>ii) Trade Recievables</t>
  </si>
  <si>
    <t xml:space="preserve">iii)Cash &amp; Cash Equivalents </t>
  </si>
  <si>
    <t xml:space="preserve">i)  Investments </t>
  </si>
  <si>
    <t xml:space="preserve">iv)Bank Balances other than (iii) above </t>
  </si>
  <si>
    <t>v) Loans</t>
  </si>
  <si>
    <t>vi)Other Financial Assets</t>
  </si>
  <si>
    <t xml:space="preserve">Total Current Assets </t>
  </si>
  <si>
    <t>Non-Current Liabilities:</t>
  </si>
  <si>
    <t xml:space="preserve">a) Financial Liabilities </t>
  </si>
  <si>
    <t xml:space="preserve">i)  Borrowings </t>
  </si>
  <si>
    <t xml:space="preserve">b) Provisions </t>
  </si>
  <si>
    <t>c) Deferred Tax Liabilities (Net)</t>
  </si>
  <si>
    <t xml:space="preserve">d) Other Non-current Liabilities </t>
  </si>
  <si>
    <t xml:space="preserve">Total Non-current Liabilities </t>
  </si>
  <si>
    <t>Current Liabilities:</t>
  </si>
  <si>
    <t>ia) Lease Liabilities</t>
  </si>
  <si>
    <t>ii) Trade Payables</t>
  </si>
  <si>
    <t>Total Outstanding Dues of Micro &amp; Small Enterprises</t>
  </si>
  <si>
    <t>Total Outstanding Dues of Creditors Other Than
 Micro &amp; Small Enterprises</t>
  </si>
  <si>
    <t xml:space="preserve">b) Other Current Liabilities </t>
  </si>
  <si>
    <t>c) Provisions</t>
  </si>
  <si>
    <t>d) Income Tax Liabilities (Net)</t>
  </si>
  <si>
    <t xml:space="preserve">Total Current Liabilities </t>
  </si>
  <si>
    <t xml:space="preserve">Net Current Assets </t>
  </si>
  <si>
    <t xml:space="preserve">Total Assets </t>
  </si>
  <si>
    <t xml:space="preserve">Total Liabilities  </t>
  </si>
  <si>
    <t>Total Liabilities &amp; Equity</t>
  </si>
  <si>
    <t>Consolidated Balance Sheet</t>
  </si>
  <si>
    <t xml:space="preserve">Consolidated Income Statement </t>
  </si>
  <si>
    <t>j) Other Non Current Assets</t>
  </si>
  <si>
    <t>i) Deferred Tax Assets (Net)</t>
  </si>
  <si>
    <t>iii)Other Financial Liabilities</t>
  </si>
  <si>
    <t xml:space="preserve">Revenue from Operations </t>
  </si>
  <si>
    <t>Growth (%)</t>
  </si>
  <si>
    <t xml:space="preserve">CAGR % - 3 Years </t>
  </si>
  <si>
    <t>Cost of Materials Consumed</t>
  </si>
  <si>
    <t>Changes in Inventories of FG, SIT and WIP</t>
  </si>
  <si>
    <t>Purchases of Stock in trade</t>
  </si>
  <si>
    <t>Employee Benefit Expense</t>
  </si>
  <si>
    <t>Other Expenses</t>
  </si>
  <si>
    <t>R&amp;D Expenses</t>
  </si>
  <si>
    <t>EBITDA</t>
  </si>
  <si>
    <t>EBITDA margin (%)</t>
  </si>
  <si>
    <t>CAGR (%) - 3 Years</t>
  </si>
  <si>
    <t>Other Income</t>
  </si>
  <si>
    <t>Depreciation</t>
  </si>
  <si>
    <t>Finance Cost</t>
  </si>
  <si>
    <t>PBT</t>
  </si>
  <si>
    <t>Tax Expense</t>
  </si>
  <si>
    <t>a) Current</t>
  </si>
  <si>
    <t>b) Deferred</t>
  </si>
  <si>
    <t>Effective tax rate (%)</t>
  </si>
  <si>
    <t>Total Taxes</t>
  </si>
  <si>
    <t>Net Profit for the Year</t>
  </si>
  <si>
    <t>PAT margin (%)</t>
  </si>
  <si>
    <t>Other Comprehensive Income:</t>
  </si>
  <si>
    <t xml:space="preserve">Total Other Comprehensive Income </t>
  </si>
  <si>
    <t>Total Comprehensive Income for the Year</t>
  </si>
  <si>
    <t>Basic EPS</t>
  </si>
  <si>
    <t xml:space="preserve">Diluted EPS </t>
  </si>
  <si>
    <t>Earning Per Share:</t>
  </si>
  <si>
    <t xml:space="preserve">ii) Other Financial Liabilities </t>
  </si>
  <si>
    <t>Cash Flow From Operating Activities</t>
  </si>
  <si>
    <t>Cash Flow from Investing Activities</t>
  </si>
  <si>
    <t>Cash Flow From Financing Activities</t>
  </si>
  <si>
    <t>Cash and Cash Equivalents at End of the year</t>
  </si>
  <si>
    <t>Cash and Cash Equivalents at Beginning of the year:</t>
  </si>
  <si>
    <t>Net in Cash and Cash Equivalent</t>
  </si>
  <si>
    <t xml:space="preserve">Operating Cash Inflow </t>
  </si>
  <si>
    <t>Capital Expenditure</t>
  </si>
  <si>
    <t>Free Cash Flow (INR MN)</t>
  </si>
  <si>
    <t>CASH FLOW STATEMENT (INR Mn)</t>
  </si>
  <si>
    <t>Total Debt</t>
  </si>
  <si>
    <t>Cash &amp; cash equivalent and other bank balance</t>
  </si>
  <si>
    <t>Enterprise Value</t>
  </si>
  <si>
    <t>P/E (x)</t>
  </si>
  <si>
    <t>P/BV (x)</t>
  </si>
  <si>
    <t>EV/EBIDTA (x)</t>
  </si>
  <si>
    <t>RoE (%)</t>
  </si>
  <si>
    <t>RoCE (%)</t>
  </si>
  <si>
    <t>Gross D/E(x)</t>
  </si>
  <si>
    <t>Net D/E (x)</t>
  </si>
  <si>
    <t>Dividend Yield</t>
  </si>
  <si>
    <t>Debtor Days</t>
  </si>
  <si>
    <t>Creditor Days</t>
  </si>
  <si>
    <t>Inventory Days</t>
  </si>
  <si>
    <t>Cash Conversion cycle</t>
  </si>
  <si>
    <t>Working Capital Days</t>
  </si>
  <si>
    <t>Interest Coverage</t>
  </si>
  <si>
    <t>INR MN</t>
  </si>
  <si>
    <t xml:space="preserve">Market Cap </t>
  </si>
  <si>
    <t xml:space="preserve">Face Value per share </t>
  </si>
  <si>
    <t xml:space="preserve">No. of Shares </t>
  </si>
  <si>
    <t>BVPS (₹)</t>
  </si>
  <si>
    <t>DPS (₹)</t>
  </si>
  <si>
    <t>EPS (₹)</t>
  </si>
  <si>
    <t>CMP (As per Stock Price at BSE) (₹)</t>
  </si>
  <si>
    <t>Asset Tunover</t>
  </si>
  <si>
    <t>Ratios</t>
  </si>
  <si>
    <t>NA</t>
  </si>
  <si>
    <t xml:space="preserve">PAT </t>
  </si>
  <si>
    <t>FY24</t>
  </si>
  <si>
    <t>J.G. Chemicals Limited</t>
  </si>
  <si>
    <t>(i) Items that will not be reclassified to P&amp;L</t>
  </si>
  <si>
    <t>a. Remeasurements of the defined benefit plans</t>
  </si>
  <si>
    <t>b. Equity instruments through other comprehensive income</t>
  </si>
  <si>
    <t>(ii)Income tax relating to the items that will not be reclassified to profit or loss</t>
  </si>
  <si>
    <t>N.A.</t>
  </si>
  <si>
    <t>c) Earlier year taxes</t>
  </si>
  <si>
    <t>c) Current Tax Assets (Net)</t>
  </si>
  <si>
    <t>d) Other Current Assets</t>
  </si>
  <si>
    <t>PBT and exceptional items</t>
  </si>
  <si>
    <t>Excetional Items</t>
  </si>
  <si>
    <t>Entry Tax for Earlier Years</t>
  </si>
  <si>
    <t>FCF</t>
  </si>
  <si>
    <t>FY25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</si>
</sst>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 * #,##0.00_ ;_ * \-#,##0.00_ ;_ * &quot;-&quot;??_ ;_ @_ "/>
    <numFmt numFmtId="164" formatCode="0.0"/>
    <numFmt numFmtId="165" formatCode="#,##0.0_ ;\-#,##0.0\ "/>
    <numFmt numFmtId="166" formatCode="_ * #,##0_ ;_ * \-#,##0_ ;_ * &quot;-&quot;??_ ;_ @_ "/>
    <numFmt numFmtId="167" formatCode="0.0%"/>
    <numFmt numFmtId="168" formatCode="_ * #,##0.0_ ;_ * \-#,##0.0_ ;_ * &quot;-&quot;??_ ;_ @_ "/>
  </numFmts>
  <fonts count="10" x14ac:knownFonts="1">
    <font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6"/>
      <color theme="1"/>
      <name val="Calibri"/>
      <family val="2"/>
    </font>
    <font>
      <i/>
      <sz val="11"/>
      <color theme="8" tint="-0.249977111117893"/>
      <name val="Calibri"/>
      <family val="2"/>
    </font>
    <font>
      <i/>
      <sz val="11"/>
      <color theme="1"/>
      <name val="Calibri"/>
      <family val="2"/>
    </font>
    <font>
      <sz val="11"/>
      <color rgb="FF000000"/>
      <name val="Calibri"/>
      <family val="2"/>
    </font>
    <font>
      <b/>
      <sz val="11"/>
      <color rgb="FFFF0000"/>
      <name val="Calibri"/>
      <family val="2"/>
    </font>
    <font>
      <i/>
      <sz val="11"/>
      <color rgb="FF0070C0"/>
      <name val="Calibri"/>
      <family val="2"/>
    </font>
    <font>
      <b/>
      <i/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81">
    <xf numFmtId="0" fontId="0" fillId="0" borderId="0" xfId="0"/>
    <xf numFmtId="0" fontId="2" fillId="0" borderId="1" xfId="0" applyFont="1" applyBorder="1"/>
    <xf numFmtId="0" fontId="2" fillId="2" borderId="1" xfId="0" applyFont="1" applyFill="1" applyBorder="1"/>
    <xf numFmtId="0" fontId="2" fillId="3" borderId="1" xfId="0" applyFont="1" applyFill="1" applyBorder="1"/>
    <xf numFmtId="43" fontId="0" fillId="0" borderId="1" xfId="1" applyFont="1" applyBorder="1"/>
    <xf numFmtId="43" fontId="0" fillId="4" borderId="1" xfId="1" applyFont="1" applyFill="1" applyBorder="1"/>
    <xf numFmtId="43" fontId="0" fillId="0" borderId="0" xfId="1" applyFont="1"/>
    <xf numFmtId="43" fontId="0" fillId="0" borderId="0" xfId="1" applyFont="1" applyFill="1"/>
    <xf numFmtId="43" fontId="0" fillId="0" borderId="0" xfId="1" applyFont="1" applyFill="1" applyAlignment="1">
      <alignment horizontal="right"/>
    </xf>
    <xf numFmtId="43" fontId="0" fillId="0" borderId="0" xfId="1" applyFont="1" applyFill="1" applyAlignment="1">
      <alignment horizontal="center"/>
    </xf>
    <xf numFmtId="167" fontId="0" fillId="0" borderId="0" xfId="2" applyNumberFormat="1" applyFont="1" applyFill="1"/>
    <xf numFmtId="10" fontId="0" fillId="0" borderId="0" xfId="2" applyNumberFormat="1" applyFont="1" applyFill="1"/>
    <xf numFmtId="9" fontId="0" fillId="0" borderId="0" xfId="2" applyFont="1" applyFill="1"/>
    <xf numFmtId="166" fontId="0" fillId="0" borderId="1" xfId="1" applyNumberFormat="1" applyFont="1" applyFill="1" applyBorder="1"/>
    <xf numFmtId="0" fontId="2" fillId="5" borderId="0" xfId="0" applyFont="1" applyFill="1"/>
    <xf numFmtId="164" fontId="0" fillId="0" borderId="1" xfId="1" applyNumberFormat="1" applyFont="1" applyFill="1" applyBorder="1"/>
    <xf numFmtId="164" fontId="2" fillId="2" borderId="1" xfId="0" applyNumberFormat="1" applyFont="1" applyFill="1" applyBorder="1"/>
    <xf numFmtId="0" fontId="4" fillId="5" borderId="1" xfId="0" applyFont="1" applyFill="1" applyBorder="1"/>
    <xf numFmtId="4" fontId="2" fillId="2" borderId="1" xfId="0" applyNumberFormat="1" applyFont="1" applyFill="1" applyBorder="1"/>
    <xf numFmtId="168" fontId="2" fillId="2" borderId="1" xfId="1" applyNumberFormat="1" applyFont="1" applyFill="1" applyBorder="1"/>
    <xf numFmtId="168" fontId="0" fillId="0" borderId="1" xfId="1" applyNumberFormat="1" applyFont="1" applyBorder="1"/>
    <xf numFmtId="168" fontId="0" fillId="0" borderId="1" xfId="1" applyNumberFormat="1" applyFont="1" applyBorder="1" applyAlignment="1">
      <alignment horizontal="center" vertical="center"/>
    </xf>
    <xf numFmtId="168" fontId="0" fillId="2" borderId="1" xfId="1" applyNumberFormat="1" applyFont="1" applyFill="1" applyBorder="1"/>
    <xf numFmtId="168" fontId="2" fillId="0" borderId="1" xfId="1" applyNumberFormat="1" applyFont="1" applyBorder="1"/>
    <xf numFmtId="168" fontId="0" fillId="0" borderId="1" xfId="1" applyNumberFormat="1" applyFont="1" applyBorder="1" applyAlignment="1">
      <alignment horizontal="right"/>
    </xf>
    <xf numFmtId="168" fontId="0" fillId="0" borderId="0" xfId="1" applyNumberFormat="1" applyFont="1"/>
    <xf numFmtId="168" fontId="0" fillId="3" borderId="1" xfId="1" applyNumberFormat="1" applyFont="1" applyFill="1" applyBorder="1" applyAlignment="1">
      <alignment horizontal="center"/>
    </xf>
    <xf numFmtId="168" fontId="0" fillId="0" borderId="1" xfId="1" applyNumberFormat="1" applyFont="1" applyFill="1" applyBorder="1"/>
    <xf numFmtId="168" fontId="0" fillId="0" borderId="1" xfId="1" applyNumberFormat="1" applyFont="1" applyFill="1" applyBorder="1" applyAlignment="1">
      <alignment horizontal="right"/>
    </xf>
    <xf numFmtId="168" fontId="6" fillId="0" borderId="1" xfId="1" applyNumberFormat="1" applyFont="1" applyBorder="1"/>
    <xf numFmtId="4" fontId="2" fillId="0" borderId="1" xfId="0" applyNumberFormat="1" applyFont="1" applyBorder="1"/>
    <xf numFmtId="164" fontId="2" fillId="0" borderId="1" xfId="0" applyNumberFormat="1" applyFont="1" applyBorder="1"/>
    <xf numFmtId="166" fontId="0" fillId="0" borderId="1" xfId="1" applyNumberFormat="1" applyFont="1" applyFill="1" applyBorder="1" applyAlignment="1">
      <alignment horizontal="right"/>
    </xf>
    <xf numFmtId="164" fontId="7" fillId="2" borderId="1" xfId="0" applyNumberFormat="1" applyFont="1" applyFill="1" applyBorder="1"/>
    <xf numFmtId="168" fontId="0" fillId="0" borderId="1" xfId="1" applyNumberFormat="1" applyFont="1" applyBorder="1" applyAlignment="1">
      <alignment horizontal="center"/>
    </xf>
    <xf numFmtId="168" fontId="0" fillId="2" borderId="1" xfId="1" applyNumberFormat="1" applyFont="1" applyFill="1" applyBorder="1" applyAlignment="1">
      <alignment horizontal="right"/>
    </xf>
    <xf numFmtId="168" fontId="5" fillId="5" borderId="1" xfId="1" applyNumberFormat="1" applyFont="1" applyFill="1" applyBorder="1" applyAlignment="1">
      <alignment horizontal="right"/>
    </xf>
    <xf numFmtId="168" fontId="5" fillId="5" borderId="1" xfId="1" applyNumberFormat="1" applyFont="1" applyFill="1" applyBorder="1"/>
    <xf numFmtId="168" fontId="2" fillId="2" borderId="1" xfId="1" applyNumberFormat="1" applyFont="1" applyFill="1" applyBorder="1" applyAlignment="1">
      <alignment horizontal="right"/>
    </xf>
    <xf numFmtId="168" fontId="0" fillId="2" borderId="1" xfId="1" applyNumberFormat="1" applyFont="1" applyFill="1" applyBorder="1" applyAlignment="1">
      <alignment horizontal="right" indent="1"/>
    </xf>
    <xf numFmtId="167" fontId="0" fillId="2" borderId="1" xfId="1" applyNumberFormat="1" applyFont="1" applyFill="1" applyBorder="1"/>
    <xf numFmtId="0" fontId="2" fillId="0" borderId="1" xfId="0" applyFont="1" applyBorder="1" applyAlignment="1">
      <alignment horizontal="center"/>
    </xf>
    <xf numFmtId="0" fontId="3" fillId="5" borderId="0" xfId="0" applyFont="1" applyFill="1" applyAlignment="1">
      <alignment horizontal="center"/>
    </xf>
    <xf numFmtId="164" fontId="0" fillId="0" borderId="0" xfId="0" applyNumberFormat="1"/>
    <xf numFmtId="165" fontId="0" fillId="0" borderId="0" xfId="0" applyNumberFormat="1"/>
    <xf numFmtId="0" fontId="0" fillId="5" borderId="0" xfId="0" applyFill="1"/>
    <xf numFmtId="0" fontId="0" fillId="0" borderId="1" xfId="0" applyBorder="1"/>
    <xf numFmtId="0" fontId="0" fillId="3" borderId="1" xfId="0" applyFill="1" applyBorder="1"/>
    <xf numFmtId="165" fontId="0" fillId="3" borderId="1" xfId="0" applyNumberFormat="1" applyFill="1" applyBorder="1"/>
    <xf numFmtId="164" fontId="0" fillId="5" borderId="1" xfId="0" applyNumberFormat="1" applyFill="1" applyBorder="1"/>
    <xf numFmtId="0" fontId="0" fillId="0" borderId="1" xfId="0" applyBorder="1" applyAlignment="1">
      <alignment horizontal="left"/>
    </xf>
    <xf numFmtId="164" fontId="0" fillId="0" borderId="1" xfId="0" applyNumberFormat="1" applyBorder="1"/>
    <xf numFmtId="164" fontId="0" fillId="0" borderId="1" xfId="0" applyNumberFormat="1" applyBorder="1" applyAlignment="1">
      <alignment horizontal="left" indent="1"/>
    </xf>
    <xf numFmtId="0" fontId="8" fillId="5" borderId="1" xfId="0" applyFont="1" applyFill="1" applyBorder="1"/>
    <xf numFmtId="4" fontId="0" fillId="0" borderId="1" xfId="0" applyNumberFormat="1" applyBorder="1"/>
    <xf numFmtId="164" fontId="0" fillId="2" borderId="1" xfId="0" applyNumberFormat="1" applyFill="1" applyBorder="1"/>
    <xf numFmtId="164" fontId="0" fillId="0" borderId="1" xfId="0" applyNumberFormat="1" applyBorder="1" applyAlignment="1">
      <alignment horizontal="right"/>
    </xf>
    <xf numFmtId="0" fontId="0" fillId="0" borderId="1" xfId="0" applyBorder="1" applyAlignment="1">
      <alignment wrapText="1"/>
    </xf>
    <xf numFmtId="0" fontId="0" fillId="5" borderId="1" xfId="0" applyFill="1" applyBorder="1"/>
    <xf numFmtId="0" fontId="0" fillId="0" borderId="1" xfId="0" applyBorder="1" applyAlignment="1">
      <alignment horizontal="left" indent="1"/>
    </xf>
    <xf numFmtId="2" fontId="0" fillId="0" borderId="1" xfId="0" applyNumberFormat="1" applyBorder="1"/>
    <xf numFmtId="0" fontId="0" fillId="3" borderId="1" xfId="0" applyFill="1" applyBorder="1" applyAlignment="1">
      <alignment horizontal="center"/>
    </xf>
    <xf numFmtId="0" fontId="9" fillId="5" borderId="1" xfId="0" applyFont="1" applyFill="1" applyBorder="1"/>
    <xf numFmtId="166" fontId="9" fillId="5" borderId="1" xfId="1" applyNumberFormat="1" applyFont="1" applyFill="1" applyBorder="1"/>
    <xf numFmtId="168" fontId="9" fillId="5" borderId="1" xfId="1" applyNumberFormat="1" applyFont="1" applyFill="1" applyBorder="1"/>
    <xf numFmtId="0" fontId="2" fillId="2" borderId="1" xfId="0" applyFont="1" applyFill="1" applyBorder="1" applyAlignment="1">
      <alignment horizontal="left" vertical="center"/>
    </xf>
    <xf numFmtId="43" fontId="2" fillId="2" borderId="1" xfId="1" applyFont="1" applyFill="1" applyBorder="1"/>
    <xf numFmtId="166" fontId="2" fillId="2" borderId="1" xfId="1" applyNumberFormat="1" applyFont="1" applyFill="1" applyBorder="1"/>
    <xf numFmtId="0" fontId="0" fillId="4" borderId="1" xfId="0" applyFill="1" applyBorder="1"/>
    <xf numFmtId="0" fontId="0" fillId="2" borderId="1" xfId="0" applyFill="1" applyBorder="1"/>
    <xf numFmtId="166" fontId="2" fillId="2" borderId="1" xfId="1" applyNumberFormat="1" applyFont="1" applyFill="1" applyBorder="1" applyAlignment="1">
      <alignment horizontal="right"/>
    </xf>
    <xf numFmtId="168" fontId="0" fillId="3" borderId="2" xfId="1" applyNumberFormat="1" applyFont="1" applyFill="1" applyBorder="1" applyAlignment="1">
      <alignment horizontal="center"/>
    </xf>
    <xf numFmtId="168" fontId="0" fillId="0" borderId="2" xfId="1" applyNumberFormat="1" applyFont="1" applyFill="1" applyBorder="1"/>
    <xf numFmtId="168" fontId="9" fillId="5" borderId="2" xfId="1" applyNumberFormat="1" applyFont="1" applyFill="1" applyBorder="1"/>
    <xf numFmtId="168" fontId="2" fillId="2" borderId="2" xfId="1" applyNumberFormat="1" applyFont="1" applyFill="1" applyBorder="1"/>
    <xf numFmtId="168" fontId="0" fillId="0" borderId="2" xfId="1" applyNumberFormat="1" applyFont="1" applyBorder="1"/>
    <xf numFmtId="10" fontId="5" fillId="5" borderId="1" xfId="2" applyNumberFormat="1" applyFont="1" applyFill="1" applyBorder="1" applyAlignment="1">
      <alignment horizontal="right"/>
    </xf>
    <xf numFmtId="10" fontId="5" fillId="5" borderId="1" xfId="2" applyNumberFormat="1" applyFont="1" applyFill="1" applyBorder="1"/>
    <xf numFmtId="10" fontId="0" fillId="5" borderId="1" xfId="2" applyNumberFormat="1" applyFont="1" applyFill="1" applyBorder="1"/>
    <xf numFmtId="0" fontId="2" fillId="0" borderId="1" xfId="0" applyFont="1" applyBorder="1" applyAlignment="1">
      <alignment horizontal="center"/>
    </xf>
    <xf numFmtId="0" fontId="3" fillId="5" borderId="0" xfId="0" applyFont="1" applyFill="1" applyAlignment="1">
      <alignment horizontal="center"/>
    </xf>
  </cellXfs>
  <cellStyles count="4">
    <cellStyle name="Comma" xfId="1" builtinId="3"/>
    <cellStyle name="Comma 2" xf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W93"/>
  <sheetViews>
    <sheetView tabSelected="1" topLeftCell="G1" zoomScaleNormal="100" workbookViewId="0">
      <pane ySplit="4" topLeftCell="A5" activePane="bottomLeft" state="frozen"/>
      <selection pane="bottomLeft" activeCell="V93" sqref="V93"/>
    </sheetView>
  </sheetViews>
  <sheetFormatPr defaultRowHeight="14.4" x14ac:dyDescent="0.3"/>
  <cols>
    <col min="2" max="2" width="47.5546875" bestFit="1" customWidth="1"/>
    <col min="3" max="4" width="8.109375" hidden="1" customWidth="1"/>
    <col min="5" max="5" width="8.5546875" hidden="1" customWidth="1"/>
    <col min="6" max="6" width="11.5546875" bestFit="1" customWidth="1"/>
    <col min="7" max="11" width="10.33203125" customWidth="1"/>
    <col min="12" max="12" width="4.109375" customWidth="1"/>
    <col min="13" max="13" width="50.6640625" customWidth="1"/>
    <col min="14" max="14" width="9" bestFit="1" customWidth="1"/>
    <col min="15" max="20" width="10.33203125" customWidth="1"/>
  </cols>
  <sheetData>
    <row r="1" spans="2:20" x14ac:dyDescent="0.3">
      <c r="F1" s="43"/>
      <c r="G1" s="44"/>
    </row>
    <row r="2" spans="2:20" ht="21" x14ac:dyDescent="0.4">
      <c r="B2" s="80" t="s">
        <v>136</v>
      </c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42"/>
    </row>
    <row r="3" spans="2:20" x14ac:dyDescent="0.3">
      <c r="B3" s="79" t="s">
        <v>62</v>
      </c>
      <c r="C3" s="79"/>
      <c r="D3" s="79"/>
      <c r="E3" s="79"/>
      <c r="F3" s="79"/>
      <c r="G3" s="79"/>
      <c r="H3" s="79"/>
      <c r="I3" s="79"/>
      <c r="J3" s="79"/>
      <c r="K3" s="41"/>
      <c r="L3" s="45"/>
      <c r="M3" s="79" t="s">
        <v>61</v>
      </c>
      <c r="N3" s="79"/>
      <c r="O3" s="79"/>
      <c r="P3" s="79"/>
      <c r="Q3" s="79"/>
      <c r="R3" s="79"/>
      <c r="S3" s="46"/>
      <c r="T3" s="46"/>
    </row>
    <row r="4" spans="2:20" x14ac:dyDescent="0.3">
      <c r="B4" s="3" t="s">
        <v>0</v>
      </c>
      <c r="C4" s="47" t="s">
        <v>1</v>
      </c>
      <c r="D4" s="47" t="s">
        <v>2</v>
      </c>
      <c r="E4" s="47" t="s">
        <v>3</v>
      </c>
      <c r="F4" s="47" t="s">
        <v>4</v>
      </c>
      <c r="G4" s="47" t="s">
        <v>5</v>
      </c>
      <c r="H4" s="47" t="s">
        <v>6</v>
      </c>
      <c r="I4" s="47" t="s">
        <v>7</v>
      </c>
      <c r="J4" s="47" t="s">
        <v>135</v>
      </c>
      <c r="K4" s="47" t="s">
        <v>149</v>
      </c>
      <c r="L4" s="45"/>
      <c r="M4" s="3" t="s">
        <v>0</v>
      </c>
      <c r="N4" s="48" t="s">
        <v>3</v>
      </c>
      <c r="O4" s="47" t="s">
        <v>4</v>
      </c>
      <c r="P4" s="47" t="s">
        <v>5</v>
      </c>
      <c r="Q4" s="47" t="s">
        <v>6</v>
      </c>
      <c r="R4" s="47" t="s">
        <v>7</v>
      </c>
      <c r="S4" s="47" t="s">
        <v>135</v>
      </c>
      <c r="T4" s="47" t="s">
        <v>149</v>
      </c>
    </row>
    <row r="5" spans="2:20" x14ac:dyDescent="0.3">
      <c r="B5" s="2" t="s">
        <v>66</v>
      </c>
      <c r="C5" s="16"/>
      <c r="D5" s="16"/>
      <c r="E5" s="16"/>
      <c r="F5" s="19">
        <v>3993.91</v>
      </c>
      <c r="G5" s="19">
        <v>4352.9799999999996</v>
      </c>
      <c r="H5" s="19">
        <v>6128.3</v>
      </c>
      <c r="I5" s="19">
        <v>7845.76</v>
      </c>
      <c r="J5" s="19">
        <v>6676.86</v>
      </c>
      <c r="K5" s="19">
        <v>8479.44</v>
      </c>
      <c r="L5" s="45"/>
      <c r="M5" s="46" t="s">
        <v>8</v>
      </c>
      <c r="N5" s="27">
        <v>12.2</v>
      </c>
      <c r="O5" s="27">
        <v>12.2</v>
      </c>
      <c r="P5" s="27">
        <v>12.2</v>
      </c>
      <c r="Q5" s="27">
        <v>12.2</v>
      </c>
      <c r="R5" s="20">
        <v>317.2</v>
      </c>
      <c r="S5" s="20">
        <v>391.86</v>
      </c>
      <c r="T5" s="20">
        <v>391.86</v>
      </c>
    </row>
    <row r="6" spans="2:20" x14ac:dyDescent="0.3">
      <c r="B6" s="17" t="s">
        <v>67</v>
      </c>
      <c r="C6" s="49"/>
      <c r="D6" s="49"/>
      <c r="E6" s="49"/>
      <c r="F6" s="36" t="str">
        <f>IFERROR(IF(F5/E5-1&gt;100%,"N.A.",IF(F5/E5-1&lt;-100%,"N.A.",(F5/E5-1))),"N.A.")</f>
        <v>N.A.</v>
      </c>
      <c r="G6" s="76">
        <f t="shared" ref="G6" si="0">IF(G5/F5-1&gt;100%,"N.A.",IF(G5/F5-1&lt;-100%,"N.A.",(G5/F5-1)))</f>
        <v>8.9904379417663272E-2</v>
      </c>
      <c r="H6" s="76">
        <f t="shared" ref="H6" si="1">IF(H5/G5-1&gt;100%,"N.A.",IF(H5/G5-1&lt;-100%,"N.A.",(H5/G5-1)))</f>
        <v>0.4078401462905874</v>
      </c>
      <c r="I6" s="76">
        <f t="shared" ref="I6" si="2">IF(I5/H5-1&gt;100%,"N.A.",IF(I5/H5-1&lt;-100%,"N.A.",(I5/H5-1)))</f>
        <v>0.28025064047125636</v>
      </c>
      <c r="J6" s="76">
        <f t="shared" ref="J6" si="3">IF(J5/I5-1&gt;100%,"N.A.",IF(J5/I5-1&lt;-100%,"N.A.",(J5/I5-1)))</f>
        <v>-0.14898492943959551</v>
      </c>
      <c r="K6" s="76">
        <f>IF(K5/J5-1&gt;100%,"N.A.",IF(K5/J5-1&lt;-100%,"N.A.",(K5/J5-1)))</f>
        <v>0.26997420943377581</v>
      </c>
      <c r="L6" s="45"/>
      <c r="M6" s="46" t="s">
        <v>12</v>
      </c>
      <c r="N6" s="27">
        <v>711.93</v>
      </c>
      <c r="O6" s="27">
        <v>848.78</v>
      </c>
      <c r="P6" s="27">
        <v>1080.3599999999999</v>
      </c>
      <c r="Q6" s="27">
        <v>1423.34</v>
      </c>
      <c r="R6" s="20">
        <v>1759.35</v>
      </c>
      <c r="S6" s="20">
        <v>3592.08</v>
      </c>
      <c r="T6" s="20">
        <v>4255.6499999999996</v>
      </c>
    </row>
    <row r="7" spans="2:20" x14ac:dyDescent="0.3">
      <c r="B7" s="17" t="s">
        <v>68</v>
      </c>
      <c r="C7" s="49"/>
      <c r="D7" s="49"/>
      <c r="E7" s="49"/>
      <c r="F7" s="36" t="str">
        <f>IFERROR(IF((F5/C5)^(1/3)-1&gt;100%,"N.A.",IF((F5/C5)^(1/3)-1&lt;-100%,"N.A.",((F5/C5)^(1/3)-1))),"N.A.")</f>
        <v>N.A.</v>
      </c>
      <c r="G7" s="36" t="str">
        <f t="shared" ref="G7:H7" si="4">IFERROR(IF((G5/D5)^(1/3)-1&gt;100%,"N.A.",IF((G5/D5)^(1/3)-1&lt;-100%,"N.A.",((G5/D5)^(1/3)-1))),"N.A.")</f>
        <v>N.A.</v>
      </c>
      <c r="H7" s="36" t="str">
        <f t="shared" si="4"/>
        <v>N.A.</v>
      </c>
      <c r="I7" s="77">
        <f t="shared" ref="I7:K7" si="5">IF((I5/F5)^(1/3)-1&gt;100%,"N.A.",IF((I5/F5)^(1/3)-1&lt;-100%,"N.A.",((I5/F5)^(1/3)-1)))</f>
        <v>0.25240727485164705</v>
      </c>
      <c r="J7" s="77">
        <f>IF((J5/G5)^(1/3)-1&gt;100%,"N.A.",IF((J5/G5)^(1/3)-1&lt;-100%,"N.A.",((J5/G5)^(1/3)-1)))</f>
        <v>0.15326346187396633</v>
      </c>
      <c r="K7" s="77">
        <f>IF((K5/H5)^(1/3)-1&gt;100%,"N.A.",IF((K5/H5)^(1/3)-1&lt;-100%,"N.A.",((K5/H5)^(1/3)-1)))</f>
        <v>0.11431775755987217</v>
      </c>
      <c r="L7" s="45"/>
      <c r="M7" s="2" t="s">
        <v>13</v>
      </c>
      <c r="N7" s="19">
        <f>SUM(N5:N6)+N9</f>
        <v>765.67</v>
      </c>
      <c r="O7" s="19">
        <f t="shared" ref="O7:R7" si="6">SUM(O5:O6)+O9</f>
        <v>913.46</v>
      </c>
      <c r="P7" s="19">
        <f t="shared" si="6"/>
        <v>1198.1599999999999</v>
      </c>
      <c r="Q7" s="19">
        <f t="shared" si="6"/>
        <v>1571.94</v>
      </c>
      <c r="R7" s="19">
        <f t="shared" si="6"/>
        <v>2135.2799999999997</v>
      </c>
      <c r="S7" s="19">
        <f>SUM(S5:S6)+S9</f>
        <v>4055.08</v>
      </c>
      <c r="T7" s="19">
        <f>SUM(T5:T6)+T9</f>
        <v>4746.1299999999992</v>
      </c>
    </row>
    <row r="8" spans="2:20" x14ac:dyDescent="0.3">
      <c r="B8" s="50" t="s">
        <v>69</v>
      </c>
      <c r="C8" s="51"/>
      <c r="D8" s="51"/>
      <c r="E8" s="51"/>
      <c r="F8" s="20">
        <v>3394.34</v>
      </c>
      <c r="G8" s="20">
        <v>3454.48</v>
      </c>
      <c r="H8" s="20">
        <v>5062.84</v>
      </c>
      <c r="I8" s="20">
        <v>6369.01</v>
      </c>
      <c r="J8" s="20">
        <v>5491.15</v>
      </c>
      <c r="K8" s="20">
        <v>6687.37</v>
      </c>
      <c r="L8" s="45"/>
      <c r="M8" s="2" t="s">
        <v>14</v>
      </c>
      <c r="N8" s="19">
        <f t="shared" ref="N8:O8" si="7">SUM(N5:N6)</f>
        <v>724.13</v>
      </c>
      <c r="O8" s="19">
        <f t="shared" si="7"/>
        <v>860.98</v>
      </c>
      <c r="P8" s="19">
        <f>SUM(P5:P6)</f>
        <v>1092.56</v>
      </c>
      <c r="Q8" s="19">
        <f>SUM(Q5:Q6)</f>
        <v>1435.54</v>
      </c>
      <c r="R8" s="19">
        <f>SUM(R5:R6)</f>
        <v>2076.5499999999997</v>
      </c>
      <c r="S8" s="19">
        <f>SUM(S5:S6)</f>
        <v>3983.94</v>
      </c>
      <c r="T8" s="19">
        <f>SUM(T5:T6)</f>
        <v>4647.5099999999993</v>
      </c>
    </row>
    <row r="9" spans="2:20" x14ac:dyDescent="0.3">
      <c r="B9" s="50" t="s">
        <v>71</v>
      </c>
      <c r="C9" s="51"/>
      <c r="D9" s="51"/>
      <c r="E9" s="51"/>
      <c r="F9" s="20">
        <v>19.32</v>
      </c>
      <c r="G9" s="20">
        <v>5.19</v>
      </c>
      <c r="H9" s="20">
        <v>4.97</v>
      </c>
      <c r="I9" s="20">
        <v>0</v>
      </c>
      <c r="J9" s="20">
        <v>0</v>
      </c>
      <c r="K9" s="20">
        <v>0</v>
      </c>
      <c r="L9" s="45"/>
      <c r="M9" s="46" t="s">
        <v>15</v>
      </c>
      <c r="N9" s="21">
        <v>41.54</v>
      </c>
      <c r="O9" s="21">
        <v>52.48</v>
      </c>
      <c r="P9" s="21">
        <v>105.6</v>
      </c>
      <c r="Q9" s="21">
        <v>136.4</v>
      </c>
      <c r="R9" s="21">
        <v>58.73</v>
      </c>
      <c r="S9" s="21">
        <v>71.14</v>
      </c>
      <c r="T9" s="21">
        <v>98.62</v>
      </c>
    </row>
    <row r="10" spans="2:20" x14ac:dyDescent="0.3">
      <c r="B10" s="50" t="s">
        <v>70</v>
      </c>
      <c r="C10" s="52"/>
      <c r="D10" s="51"/>
      <c r="E10" s="51"/>
      <c r="F10" s="20">
        <v>-10.33</v>
      </c>
      <c r="G10" s="20">
        <v>30.5</v>
      </c>
      <c r="H10" s="20">
        <v>-109.34</v>
      </c>
      <c r="I10" s="20">
        <v>-28.35</v>
      </c>
      <c r="J10" s="20">
        <v>5.17</v>
      </c>
      <c r="K10" s="20">
        <v>51.06</v>
      </c>
      <c r="L10" s="45"/>
      <c r="M10" s="46" t="s">
        <v>9</v>
      </c>
      <c r="N10" s="27">
        <v>73.66</v>
      </c>
      <c r="O10" s="27">
        <v>57.24</v>
      </c>
      <c r="P10" s="27">
        <v>54.79</v>
      </c>
      <c r="Q10" s="27">
        <v>55.95</v>
      </c>
      <c r="R10" s="20">
        <v>67.150000000000006</v>
      </c>
      <c r="S10" s="20">
        <v>36.090000000000003</v>
      </c>
      <c r="T10" s="20">
        <v>0.49</v>
      </c>
    </row>
    <row r="11" spans="2:20" x14ac:dyDescent="0.3">
      <c r="B11" s="50" t="s">
        <v>72</v>
      </c>
      <c r="C11" s="51"/>
      <c r="D11" s="51"/>
      <c r="E11" s="51"/>
      <c r="F11" s="20">
        <v>94.51</v>
      </c>
      <c r="G11" s="20">
        <v>102.99</v>
      </c>
      <c r="H11" s="20">
        <v>133.11000000000001</v>
      </c>
      <c r="I11" s="20">
        <v>148.1</v>
      </c>
      <c r="J11" s="20">
        <v>164.64</v>
      </c>
      <c r="K11" s="20">
        <v>184.08</v>
      </c>
      <c r="L11" s="45"/>
      <c r="M11" s="46" t="s">
        <v>10</v>
      </c>
      <c r="N11" s="27">
        <v>682.88</v>
      </c>
      <c r="O11" s="27">
        <v>467.01</v>
      </c>
      <c r="P11" s="27">
        <v>689.71</v>
      </c>
      <c r="Q11" s="27">
        <v>883.46</v>
      </c>
      <c r="R11" s="20">
        <v>636.36</v>
      </c>
      <c r="S11" s="20">
        <v>101.67</v>
      </c>
      <c r="T11" s="20">
        <v>1.51</v>
      </c>
    </row>
    <row r="12" spans="2:20" x14ac:dyDescent="0.3">
      <c r="B12" s="46" t="s">
        <v>74</v>
      </c>
      <c r="C12" s="51"/>
      <c r="D12" s="51"/>
      <c r="E12" s="51"/>
      <c r="F12" s="20">
        <v>0</v>
      </c>
      <c r="G12" s="20">
        <v>0</v>
      </c>
      <c r="H12" s="20">
        <v>0</v>
      </c>
      <c r="I12" s="20">
        <v>0</v>
      </c>
      <c r="J12" s="20">
        <v>0</v>
      </c>
      <c r="K12" s="20">
        <v>0</v>
      </c>
      <c r="L12" s="45"/>
      <c r="M12" s="2" t="s">
        <v>16</v>
      </c>
      <c r="N12" s="19">
        <f>SUM(N10:N11)</f>
        <v>756.54</v>
      </c>
      <c r="O12" s="19">
        <f t="shared" ref="O12:S12" si="8">SUM(O10:O11)</f>
        <v>524.25</v>
      </c>
      <c r="P12" s="19">
        <f t="shared" si="8"/>
        <v>744.5</v>
      </c>
      <c r="Q12" s="19">
        <f t="shared" si="8"/>
        <v>939.41000000000008</v>
      </c>
      <c r="R12" s="19">
        <f t="shared" si="8"/>
        <v>703.51</v>
      </c>
      <c r="S12" s="19">
        <f t="shared" si="8"/>
        <v>137.76</v>
      </c>
      <c r="T12" s="19">
        <f t="shared" ref="T12" si="9">SUM(T10:T11)</f>
        <v>2</v>
      </c>
    </row>
    <row r="13" spans="2:20" x14ac:dyDescent="0.3">
      <c r="B13" s="50" t="s">
        <v>73</v>
      </c>
      <c r="C13" s="51"/>
      <c r="D13" s="51"/>
      <c r="E13" s="51"/>
      <c r="F13" s="20">
        <v>295.26</v>
      </c>
      <c r="G13" s="20">
        <v>324.83</v>
      </c>
      <c r="H13" s="20">
        <v>475.11</v>
      </c>
      <c r="I13" s="20">
        <v>601.95000000000005</v>
      </c>
      <c r="J13" s="20">
        <v>562.79</v>
      </c>
      <c r="K13" s="20">
        <v>695.78</v>
      </c>
      <c r="L13" s="45"/>
      <c r="M13" s="46"/>
      <c r="N13" s="20"/>
      <c r="O13" s="20"/>
      <c r="P13" s="20"/>
      <c r="Q13" s="20"/>
      <c r="R13" s="20"/>
      <c r="S13" s="20"/>
      <c r="T13" s="20"/>
    </row>
    <row r="14" spans="2:20" x14ac:dyDescent="0.3">
      <c r="B14" s="2" t="s">
        <v>75</v>
      </c>
      <c r="C14" s="33"/>
      <c r="D14" s="33"/>
      <c r="E14" s="33"/>
      <c r="F14" s="19">
        <f t="shared" ref="F14:K14" si="10">F5-SUM(F8:F13)+F18</f>
        <v>279.58999999999946</v>
      </c>
      <c r="G14" s="19">
        <f t="shared" si="10"/>
        <v>486.05999999999977</v>
      </c>
      <c r="H14" s="19">
        <f t="shared" si="10"/>
        <v>663.78000000000054</v>
      </c>
      <c r="I14" s="19">
        <f t="shared" si="10"/>
        <v>851.17000000000019</v>
      </c>
      <c r="J14" s="19">
        <f t="shared" si="10"/>
        <v>530.62999999999965</v>
      </c>
      <c r="K14" s="19">
        <f>K5-SUM(K8:K13)+K18</f>
        <v>961.27000000000055</v>
      </c>
      <c r="L14" s="45"/>
      <c r="M14" s="2" t="s">
        <v>11</v>
      </c>
      <c r="N14" s="19">
        <f>N68-N64</f>
        <v>841.92999999999984</v>
      </c>
      <c r="O14" s="19">
        <f t="shared" ref="O14:R14" si="11">O68-O64</f>
        <v>973.96000000000038</v>
      </c>
      <c r="P14" s="19">
        <f t="shared" si="11"/>
        <v>1257.8900000000003</v>
      </c>
      <c r="Q14" s="19">
        <f t="shared" si="11"/>
        <v>1630.2699999999995</v>
      </c>
      <c r="R14" s="19">
        <f t="shared" si="11"/>
        <v>2211.1700000000005</v>
      </c>
      <c r="S14" s="19">
        <f>S68-S64</f>
        <v>4095.31</v>
      </c>
      <c r="T14" s="19">
        <f>T68-T64</f>
        <v>4756.1999999999989</v>
      </c>
    </row>
    <row r="15" spans="2:20" x14ac:dyDescent="0.3">
      <c r="B15" s="53" t="s">
        <v>76</v>
      </c>
      <c r="C15" s="49"/>
      <c r="D15" s="49"/>
      <c r="E15" s="49"/>
      <c r="F15" s="78">
        <f>IF(F14/F5&gt;100%,"N.A",IF(F14/F5&lt;-100%,"N.A.",(F14/F5)))</f>
        <v>7.0004081213647651E-2</v>
      </c>
      <c r="G15" s="78">
        <f t="shared" ref="G15:I15" si="12">IF(G14/G5&gt;100%,"N.A",IF(G14/G5&lt;-100%,"N.A.",(G14/G5)))</f>
        <v>0.11166143653313358</v>
      </c>
      <c r="H15" s="78">
        <f t="shared" si="12"/>
        <v>0.10831388802767497</v>
      </c>
      <c r="I15" s="78">
        <f t="shared" si="12"/>
        <v>0.10848789664736114</v>
      </c>
      <c r="J15" s="78">
        <f>IF(J14/J5&gt;100%,"N.A",IF(J14/J5&lt;-100%,"N.A.",(J14/J5)))</f>
        <v>7.9472985804704563E-2</v>
      </c>
      <c r="K15" s="78">
        <f>IF(K14/K5&gt;100%,"N.A",IF(K14/K5&lt;-100%,"N.A.",(K14/K5)))</f>
        <v>0.11336479767531824</v>
      </c>
      <c r="L15" s="45"/>
      <c r="M15" s="46"/>
      <c r="N15" s="20"/>
      <c r="O15" s="20"/>
      <c r="P15" s="20"/>
      <c r="Q15" s="20"/>
      <c r="R15" s="20"/>
      <c r="S15" s="20"/>
      <c r="T15" s="20"/>
    </row>
    <row r="16" spans="2:20" x14ac:dyDescent="0.3">
      <c r="B16" s="53" t="s">
        <v>67</v>
      </c>
      <c r="C16" s="49"/>
      <c r="D16" s="49"/>
      <c r="E16" s="49"/>
      <c r="F16" s="36" t="str">
        <f>IFERROR(IF(F14/E14-1&gt;100%,("N.A."),IF(F14/E14-1&lt;-100%,("N.A."),(F14/E14-1))),"N.A.")</f>
        <v>N.A.</v>
      </c>
      <c r="G16" s="77">
        <f t="shared" ref="G16:H16" si="13">IF(G14/F14-1&gt;100%,("N.A."),IF(G14/F14-1&lt;-100%,("N.A."),(G14/F14-1)))</f>
        <v>0.73847419435602379</v>
      </c>
      <c r="H16" s="77">
        <f t="shared" si="13"/>
        <v>0.36563387236143852</v>
      </c>
      <c r="I16" s="77">
        <f>IF(I14/H14-1&gt;100%,("N.A."),IF(I14/H14-1&lt;-100%,("N.A."),(I14/H14-1)))</f>
        <v>0.28230739100304247</v>
      </c>
      <c r="J16" s="77">
        <f>IF(J14/I14-1&gt;100%,("N.A."),IF(J14/I14-1&lt;-100%,("N.A."),(J14/I14-1)))</f>
        <v>-0.37658752070679236</v>
      </c>
      <c r="K16" s="77">
        <f>IF(K14/J14-1&gt;100%,("N.A."),IF(K14/J14-1&lt;-100%,("N.A."),(K14/J14-1)))</f>
        <v>0.81156361306371894</v>
      </c>
      <c r="L16" s="45"/>
      <c r="M16" s="2" t="s">
        <v>17</v>
      </c>
      <c r="N16" s="19">
        <v>121.16</v>
      </c>
      <c r="O16" s="19">
        <v>219.55</v>
      </c>
      <c r="P16" s="19">
        <v>265.22000000000003</v>
      </c>
      <c r="Q16" s="19">
        <v>289.93</v>
      </c>
      <c r="R16" s="19">
        <v>452.68</v>
      </c>
      <c r="S16" s="19"/>
      <c r="T16" s="19"/>
    </row>
    <row r="17" spans="2:20" x14ac:dyDescent="0.3">
      <c r="B17" s="53" t="s">
        <v>77</v>
      </c>
      <c r="C17" s="49"/>
      <c r="D17" s="49"/>
      <c r="E17" s="49"/>
      <c r="F17" s="76" t="str">
        <f>IFERROR(IF((F14/C14)^(1/3)-1&lt;-100%,"N.A.",IF((F14/C14)^(1/3)-1&gt;100%,"N.A.",((F14/C14)^(1/3)-1))),"N.A.")</f>
        <v>N.A.</v>
      </c>
      <c r="G17" s="76" t="str">
        <f t="shared" ref="G17:H17" si="14">IFERROR(IF((G14/D14)^(1/3)-1&lt;-100%,"N.A.",IF((G14/D14)^(1/3)-1&gt;100%,"N.A.",((G14/D14)^(1/3)-1))),"N.A.")</f>
        <v>N.A.</v>
      </c>
      <c r="H17" s="76" t="str">
        <f t="shared" si="14"/>
        <v>N.A.</v>
      </c>
      <c r="I17" s="76">
        <f>IF((I14/F14)^(1/3)-1&lt;-100%,"N.A.",IF((I14/F14)^(1/3)-1&gt;100%,"N.A.",((I14/F14)^(1/3)-1)))</f>
        <v>0.44932202253465592</v>
      </c>
      <c r="J17" s="76">
        <f>IF((J14/G14)^(1/3)-1&lt;-100%,"N.A.",IF((J14/G14)^(1/3)-1&gt;100%,"N.A.",((J14/G14)^(1/3)-1)))</f>
        <v>2.967611595970987E-2</v>
      </c>
      <c r="K17" s="76">
        <f>IF((K14/H14)^(1/3)-1&lt;-100%,"N.A.",IF((K14/H14)^(1/3)-1&gt;100%,"N.A.",((K14/H14)^(1/3)-1)))</f>
        <v>0.13137629583045518</v>
      </c>
      <c r="L17" s="45"/>
      <c r="M17" s="1" t="s">
        <v>31</v>
      </c>
      <c r="N17" s="23"/>
      <c r="O17" s="20"/>
      <c r="P17" s="20"/>
      <c r="Q17" s="20"/>
      <c r="R17" s="20"/>
      <c r="S17" s="20"/>
      <c r="T17" s="20"/>
    </row>
    <row r="18" spans="2:20" x14ac:dyDescent="0.3">
      <c r="B18" s="46" t="s">
        <v>78</v>
      </c>
      <c r="C18" s="46"/>
      <c r="D18" s="46"/>
      <c r="E18" s="51"/>
      <c r="F18" s="20">
        <v>78.78</v>
      </c>
      <c r="G18" s="20">
        <v>51.07</v>
      </c>
      <c r="H18" s="20">
        <v>102.17</v>
      </c>
      <c r="I18" s="20">
        <v>96.12</v>
      </c>
      <c r="J18" s="20">
        <v>77.52</v>
      </c>
      <c r="K18" s="20">
        <v>100.12</v>
      </c>
      <c r="L18" s="45"/>
      <c r="M18" s="46" t="s">
        <v>18</v>
      </c>
      <c r="N18" s="27">
        <v>121.16</v>
      </c>
      <c r="O18" s="27">
        <v>201.5</v>
      </c>
      <c r="P18" s="27">
        <v>223.87</v>
      </c>
      <c r="Q18" s="27">
        <v>223.64</v>
      </c>
      <c r="R18" s="20">
        <v>352.68</v>
      </c>
      <c r="S18" s="20">
        <v>416.93</v>
      </c>
      <c r="T18" s="20">
        <v>389.06</v>
      </c>
    </row>
    <row r="19" spans="2:20" x14ac:dyDescent="0.3">
      <c r="B19" s="46" t="s">
        <v>79</v>
      </c>
      <c r="C19" s="54"/>
      <c r="D19" s="54"/>
      <c r="E19" s="51"/>
      <c r="F19" s="20">
        <v>18.64</v>
      </c>
      <c r="G19" s="20">
        <v>23.38</v>
      </c>
      <c r="H19" s="20">
        <v>26.8</v>
      </c>
      <c r="I19" s="20">
        <v>34.4</v>
      </c>
      <c r="J19" s="20">
        <v>45.26</v>
      </c>
      <c r="K19" s="20">
        <v>53.81</v>
      </c>
      <c r="L19" s="45"/>
      <c r="M19" s="46" t="s">
        <v>19</v>
      </c>
      <c r="N19" s="20">
        <v>0</v>
      </c>
      <c r="O19" s="20">
        <v>0</v>
      </c>
      <c r="P19" s="20">
        <v>0</v>
      </c>
      <c r="Q19" s="20">
        <v>0</v>
      </c>
      <c r="R19" s="20">
        <v>0</v>
      </c>
      <c r="S19" s="20">
        <v>0</v>
      </c>
      <c r="T19" s="20">
        <v>0</v>
      </c>
    </row>
    <row r="20" spans="2:20" x14ac:dyDescent="0.3">
      <c r="B20" s="46" t="s">
        <v>80</v>
      </c>
      <c r="C20" s="46"/>
      <c r="D20" s="54"/>
      <c r="E20" s="51"/>
      <c r="F20" s="20">
        <v>61.66</v>
      </c>
      <c r="G20" s="20">
        <v>50.7</v>
      </c>
      <c r="H20" s="20">
        <v>62.51</v>
      </c>
      <c r="I20" s="20">
        <v>49.83</v>
      </c>
      <c r="J20" s="20">
        <v>36.32</v>
      </c>
      <c r="K20" s="20">
        <v>8.4700000000000006</v>
      </c>
      <c r="L20" s="45"/>
      <c r="M20" s="46" t="s">
        <v>20</v>
      </c>
      <c r="N20" s="27">
        <v>60.36</v>
      </c>
      <c r="O20" s="27">
        <v>3.34</v>
      </c>
      <c r="P20" s="27">
        <v>0.37</v>
      </c>
      <c r="Q20" s="27">
        <v>73.790000000000006</v>
      </c>
      <c r="R20" s="20">
        <v>9.23</v>
      </c>
      <c r="S20" s="20">
        <v>0</v>
      </c>
      <c r="T20" s="20">
        <v>10.92</v>
      </c>
    </row>
    <row r="21" spans="2:20" x14ac:dyDescent="0.3">
      <c r="B21" s="2" t="s">
        <v>145</v>
      </c>
      <c r="C21" s="18"/>
      <c r="D21" s="18"/>
      <c r="E21" s="16"/>
      <c r="F21" s="19">
        <f>F14-SUM(F19:F20)</f>
        <v>199.28999999999945</v>
      </c>
      <c r="G21" s="19">
        <f t="shared" ref="G21:J21" si="15">G14-SUM(G19:G20)</f>
        <v>411.97999999999979</v>
      </c>
      <c r="H21" s="19">
        <f t="shared" si="15"/>
        <v>574.47000000000048</v>
      </c>
      <c r="I21" s="19">
        <f t="shared" si="15"/>
        <v>766.94000000000017</v>
      </c>
      <c r="J21" s="19">
        <f t="shared" si="15"/>
        <v>449.04999999999967</v>
      </c>
      <c r="K21" s="19">
        <f>K14-SUM(K19:K20)</f>
        <v>898.99000000000058</v>
      </c>
      <c r="L21" s="45"/>
      <c r="M21" s="46" t="s">
        <v>21</v>
      </c>
      <c r="N21" s="27">
        <v>0.09</v>
      </c>
      <c r="O21" s="27">
        <v>0.34</v>
      </c>
      <c r="P21" s="27">
        <v>0.25</v>
      </c>
      <c r="Q21" s="27">
        <v>0.17</v>
      </c>
      <c r="R21" s="20">
        <v>0.1</v>
      </c>
      <c r="S21" s="20">
        <v>0.19</v>
      </c>
      <c r="T21" s="20">
        <v>0.13</v>
      </c>
    </row>
    <row r="22" spans="2:20" x14ac:dyDescent="0.3">
      <c r="B22" s="46" t="s">
        <v>146</v>
      </c>
      <c r="C22" s="30"/>
      <c r="D22" s="30"/>
      <c r="E22" s="31"/>
      <c r="F22" s="20">
        <v>0</v>
      </c>
      <c r="G22" s="20">
        <v>0</v>
      </c>
      <c r="H22" s="20">
        <v>0</v>
      </c>
      <c r="I22" s="20">
        <v>0</v>
      </c>
      <c r="J22" s="20">
        <v>0</v>
      </c>
      <c r="K22" s="20">
        <v>0</v>
      </c>
      <c r="L22" s="45"/>
      <c r="M22" s="46" t="s">
        <v>22</v>
      </c>
      <c r="N22" s="20">
        <v>0</v>
      </c>
      <c r="O22" s="20">
        <v>0</v>
      </c>
      <c r="P22" s="20">
        <v>0</v>
      </c>
      <c r="Q22" s="20">
        <v>0</v>
      </c>
      <c r="R22" s="20">
        <v>0</v>
      </c>
      <c r="S22" s="20">
        <v>0</v>
      </c>
      <c r="T22" s="20">
        <v>0</v>
      </c>
    </row>
    <row r="23" spans="2:20" x14ac:dyDescent="0.3">
      <c r="B23" s="46" t="s">
        <v>147</v>
      </c>
      <c r="C23" s="30"/>
      <c r="D23" s="30"/>
      <c r="E23" s="31"/>
      <c r="F23" s="20">
        <v>0</v>
      </c>
      <c r="G23" s="20">
        <v>0</v>
      </c>
      <c r="H23" s="20">
        <v>0</v>
      </c>
      <c r="I23" s="20">
        <v>0</v>
      </c>
      <c r="J23" s="20">
        <v>-18.02</v>
      </c>
      <c r="K23" s="20">
        <v>0</v>
      </c>
      <c r="L23" s="45"/>
      <c r="M23" s="46" t="s">
        <v>23</v>
      </c>
      <c r="N23" s="27">
        <v>5.56</v>
      </c>
      <c r="O23" s="27">
        <v>5.56</v>
      </c>
      <c r="P23" s="27">
        <v>5.56</v>
      </c>
      <c r="Q23" s="27">
        <v>5.56</v>
      </c>
      <c r="R23" s="20">
        <v>0</v>
      </c>
      <c r="S23" s="20">
        <v>0</v>
      </c>
      <c r="T23" s="20">
        <v>0</v>
      </c>
    </row>
    <row r="24" spans="2:20" x14ac:dyDescent="0.3">
      <c r="B24" s="2" t="s">
        <v>81</v>
      </c>
      <c r="C24" s="18"/>
      <c r="D24" s="18"/>
      <c r="E24" s="16"/>
      <c r="F24" s="19">
        <f>+F21+F23</f>
        <v>199.28999999999945</v>
      </c>
      <c r="G24" s="19">
        <f t="shared" ref="G24:J24" si="16">+G21+G23</f>
        <v>411.97999999999979</v>
      </c>
      <c r="H24" s="19">
        <f t="shared" si="16"/>
        <v>574.47000000000048</v>
      </c>
      <c r="I24" s="19">
        <f t="shared" si="16"/>
        <v>766.94000000000017</v>
      </c>
      <c r="J24" s="19">
        <f t="shared" si="16"/>
        <v>431.02999999999969</v>
      </c>
      <c r="K24" s="19">
        <f t="shared" ref="K24" si="17">+K21+K23</f>
        <v>898.99000000000058</v>
      </c>
      <c r="L24" s="45"/>
      <c r="M24" s="46" t="s">
        <v>24</v>
      </c>
      <c r="N24" s="27"/>
      <c r="O24" s="27"/>
      <c r="P24" s="27"/>
      <c r="Q24" s="27"/>
      <c r="R24" s="20"/>
      <c r="S24" s="20"/>
      <c r="T24" s="20"/>
    </row>
    <row r="25" spans="2:20" x14ac:dyDescent="0.3">
      <c r="B25" s="46" t="s">
        <v>82</v>
      </c>
      <c r="C25" s="51"/>
      <c r="D25" s="51"/>
      <c r="E25" s="51"/>
      <c r="F25" s="20"/>
      <c r="G25" s="20"/>
      <c r="H25" s="20"/>
      <c r="I25" s="20"/>
      <c r="J25" s="20"/>
      <c r="K25" s="20"/>
      <c r="L25" s="45"/>
      <c r="M25" s="46" t="s">
        <v>25</v>
      </c>
      <c r="N25" s="27">
        <v>0</v>
      </c>
      <c r="O25" s="27">
        <v>57.54</v>
      </c>
      <c r="P25" s="27">
        <v>86.28</v>
      </c>
      <c r="Q25" s="27">
        <v>84.88</v>
      </c>
      <c r="R25" s="20">
        <v>29.55</v>
      </c>
      <c r="S25" s="20">
        <v>112.02</v>
      </c>
      <c r="T25" s="20">
        <v>121.84</v>
      </c>
    </row>
    <row r="26" spans="2:20" x14ac:dyDescent="0.3">
      <c r="B26" s="46" t="s">
        <v>83</v>
      </c>
      <c r="C26" s="51"/>
      <c r="D26" s="51"/>
      <c r="E26" s="51"/>
      <c r="F26" s="20">
        <v>49.99</v>
      </c>
      <c r="G26" s="20">
        <v>105.12</v>
      </c>
      <c r="H26" s="20">
        <v>145.05000000000001</v>
      </c>
      <c r="I26" s="20">
        <v>192.84</v>
      </c>
      <c r="J26" s="20">
        <v>105.04</v>
      </c>
      <c r="K26" s="20">
        <v>223.75</v>
      </c>
      <c r="L26" s="45"/>
      <c r="M26" s="46" t="s">
        <v>26</v>
      </c>
      <c r="N26" s="27">
        <v>0</v>
      </c>
      <c r="O26" s="27">
        <v>0</v>
      </c>
      <c r="P26" s="27">
        <v>0</v>
      </c>
      <c r="Q26" s="27">
        <v>0</v>
      </c>
      <c r="R26" s="20">
        <v>0</v>
      </c>
      <c r="S26" s="20">
        <v>0</v>
      </c>
      <c r="T26" s="20">
        <v>0</v>
      </c>
    </row>
    <row r="27" spans="2:20" x14ac:dyDescent="0.3">
      <c r="B27" s="46" t="s">
        <v>84</v>
      </c>
      <c r="C27" s="51"/>
      <c r="D27" s="51"/>
      <c r="E27" s="51"/>
      <c r="F27" s="20">
        <v>1.59</v>
      </c>
      <c r="G27" s="20">
        <v>1.93</v>
      </c>
      <c r="H27" s="20">
        <v>-1.79</v>
      </c>
      <c r="I27" s="20">
        <v>5.89</v>
      </c>
      <c r="J27" s="20">
        <v>5.89</v>
      </c>
      <c r="K27" s="20">
        <v>7.52</v>
      </c>
      <c r="L27" s="45"/>
      <c r="M27" s="46" t="s">
        <v>27</v>
      </c>
      <c r="N27" s="27">
        <v>5.42</v>
      </c>
      <c r="O27" s="27">
        <v>7.99</v>
      </c>
      <c r="P27" s="27">
        <v>7.71</v>
      </c>
      <c r="Q27" s="27">
        <v>8.9</v>
      </c>
      <c r="R27" s="20">
        <v>11.48</v>
      </c>
      <c r="S27" s="20">
        <v>9.9499999999999993</v>
      </c>
      <c r="T27" s="20">
        <v>7.26</v>
      </c>
    </row>
    <row r="28" spans="2:20" x14ac:dyDescent="0.3">
      <c r="B28" s="46" t="s">
        <v>142</v>
      </c>
      <c r="C28" s="51"/>
      <c r="D28" s="51"/>
      <c r="E28" s="51"/>
      <c r="F28" s="20">
        <v>0</v>
      </c>
      <c r="G28" s="20">
        <v>16.940000000000001</v>
      </c>
      <c r="H28" s="20">
        <v>-0.05</v>
      </c>
      <c r="I28" s="20">
        <v>0.28000000000000003</v>
      </c>
      <c r="J28" s="20">
        <v>-0.99</v>
      </c>
      <c r="K28" s="20">
        <v>0.13</v>
      </c>
      <c r="L28" s="45"/>
      <c r="M28" s="46" t="s">
        <v>28</v>
      </c>
      <c r="N28" s="27">
        <v>4.7300000000000004</v>
      </c>
      <c r="O28" s="27">
        <v>9.14</v>
      </c>
      <c r="P28" s="27">
        <v>4.5999999999999996</v>
      </c>
      <c r="Q28" s="28">
        <v>0.19</v>
      </c>
      <c r="R28" s="20">
        <v>0.13</v>
      </c>
      <c r="S28" s="20">
        <v>0</v>
      </c>
      <c r="T28" s="20">
        <v>0</v>
      </c>
    </row>
    <row r="29" spans="2:20" x14ac:dyDescent="0.3">
      <c r="B29" s="46" t="s">
        <v>86</v>
      </c>
      <c r="C29" s="51"/>
      <c r="D29" s="51"/>
      <c r="E29" s="51"/>
      <c r="F29" s="20">
        <f>F26+F27+F28</f>
        <v>51.580000000000005</v>
      </c>
      <c r="G29" s="20">
        <f t="shared" ref="G29:H29" si="18">G26+G27+G28</f>
        <v>123.99000000000001</v>
      </c>
      <c r="H29" s="20">
        <f t="shared" si="18"/>
        <v>143.21</v>
      </c>
      <c r="I29" s="20">
        <f>I26+I27+I28</f>
        <v>199.01</v>
      </c>
      <c r="J29" s="20">
        <f>J26+J27+J28</f>
        <v>109.94000000000001</v>
      </c>
      <c r="K29" s="20">
        <f>K26+K27+K28</f>
        <v>231.4</v>
      </c>
      <c r="L29" s="45"/>
      <c r="M29" s="46" t="s">
        <v>64</v>
      </c>
      <c r="N29" s="27">
        <v>2.65</v>
      </c>
      <c r="O29" s="27">
        <v>1.06</v>
      </c>
      <c r="P29" s="27">
        <v>0</v>
      </c>
      <c r="Q29" s="28">
        <v>0.32</v>
      </c>
      <c r="R29" s="24">
        <v>0</v>
      </c>
      <c r="S29" s="34">
        <v>6.51</v>
      </c>
      <c r="T29" s="34">
        <v>0</v>
      </c>
    </row>
    <row r="30" spans="2:20" x14ac:dyDescent="0.3">
      <c r="B30" s="53" t="s">
        <v>85</v>
      </c>
      <c r="C30" s="49"/>
      <c r="D30" s="49"/>
      <c r="E30" s="49"/>
      <c r="F30" s="37">
        <f t="shared" ref="F30:K30" si="19">F29/F21</f>
        <v>0.25881880676401298</v>
      </c>
      <c r="G30" s="37">
        <f t="shared" si="19"/>
        <v>0.30096121170930645</v>
      </c>
      <c r="H30" s="37">
        <f t="shared" si="19"/>
        <v>0.24929065051264623</v>
      </c>
      <c r="I30" s="37">
        <f t="shared" si="19"/>
        <v>0.25948574855920925</v>
      </c>
      <c r="J30" s="37">
        <f t="shared" si="19"/>
        <v>0.24482797015922525</v>
      </c>
      <c r="K30" s="37">
        <f t="shared" si="19"/>
        <v>0.25739997107865475</v>
      </c>
      <c r="L30" s="45"/>
      <c r="M30" s="46" t="s">
        <v>63</v>
      </c>
      <c r="N30" s="27">
        <v>4.96</v>
      </c>
      <c r="O30" s="27">
        <v>19.2</v>
      </c>
      <c r="P30" s="27">
        <v>4.4000000000000004</v>
      </c>
      <c r="Q30" s="27">
        <v>4.25</v>
      </c>
      <c r="R30" s="20">
        <v>11.38</v>
      </c>
      <c r="S30" s="20">
        <v>5.35</v>
      </c>
      <c r="T30" s="20">
        <v>9.69</v>
      </c>
    </row>
    <row r="31" spans="2:20" x14ac:dyDescent="0.3">
      <c r="B31" s="2" t="s">
        <v>134</v>
      </c>
      <c r="C31" s="55"/>
      <c r="D31" s="55"/>
      <c r="E31" s="55"/>
      <c r="F31" s="19">
        <f>F21-F29</f>
        <v>147.70999999999944</v>
      </c>
      <c r="G31" s="19">
        <f>G21-G29</f>
        <v>287.98999999999978</v>
      </c>
      <c r="H31" s="19">
        <f>H21-H29</f>
        <v>431.26000000000045</v>
      </c>
      <c r="I31" s="19">
        <f>I21-I29</f>
        <v>567.93000000000018</v>
      </c>
      <c r="J31" s="19">
        <f>J24-J29</f>
        <v>321.08999999999969</v>
      </c>
      <c r="K31" s="19">
        <f>K24-K29</f>
        <v>667.5900000000006</v>
      </c>
      <c r="L31" s="45"/>
      <c r="M31" s="2" t="s">
        <v>29</v>
      </c>
      <c r="N31" s="19">
        <f t="shared" ref="N31:P31" si="20">SUM(N18:N30)</f>
        <v>204.92999999999998</v>
      </c>
      <c r="O31" s="19">
        <f t="shared" si="20"/>
        <v>305.67</v>
      </c>
      <c r="P31" s="19">
        <f t="shared" si="20"/>
        <v>333.04</v>
      </c>
      <c r="Q31" s="19">
        <f>SUM(Q18:Q30)</f>
        <v>401.7</v>
      </c>
      <c r="R31" s="19">
        <f>SUM(R18:R30)</f>
        <v>414.55000000000007</v>
      </c>
      <c r="S31" s="19">
        <f>SUM(S18:S30)</f>
        <v>550.95000000000005</v>
      </c>
      <c r="T31" s="19">
        <f>SUM(T18:T30)</f>
        <v>538.90000000000009</v>
      </c>
    </row>
    <row r="32" spans="2:20" x14ac:dyDescent="0.3">
      <c r="B32" s="1"/>
      <c r="C32" s="56"/>
      <c r="D32" s="56"/>
      <c r="E32" s="56"/>
      <c r="F32" s="28">
        <v>0</v>
      </c>
      <c r="G32" s="28">
        <v>0</v>
      </c>
      <c r="H32" s="28">
        <v>0</v>
      </c>
      <c r="I32" s="28">
        <v>0</v>
      </c>
      <c r="J32" s="28">
        <v>0</v>
      </c>
      <c r="K32" s="28">
        <v>0</v>
      </c>
      <c r="L32" s="45"/>
      <c r="M32" s="1" t="s">
        <v>30</v>
      </c>
      <c r="N32" s="23"/>
      <c r="O32" s="20"/>
      <c r="P32" s="20"/>
      <c r="Q32" s="20"/>
      <c r="R32" s="20"/>
      <c r="S32" s="20"/>
      <c r="T32" s="20"/>
    </row>
    <row r="33" spans="2:20" x14ac:dyDescent="0.3">
      <c r="B33" s="46"/>
      <c r="C33" s="56"/>
      <c r="D33" s="56"/>
      <c r="E33" s="56"/>
      <c r="F33" s="28">
        <v>0</v>
      </c>
      <c r="G33" s="28">
        <v>0</v>
      </c>
      <c r="H33" s="28">
        <v>0</v>
      </c>
      <c r="I33" s="28">
        <v>0</v>
      </c>
      <c r="J33" s="28">
        <v>0</v>
      </c>
      <c r="K33" s="28">
        <v>0</v>
      </c>
      <c r="L33" s="45"/>
      <c r="M33" s="46" t="s">
        <v>32</v>
      </c>
      <c r="N33" s="20">
        <v>724.09</v>
      </c>
      <c r="O33" s="20">
        <v>455.38</v>
      </c>
      <c r="P33" s="20">
        <v>486.41</v>
      </c>
      <c r="Q33" s="20">
        <v>882.66</v>
      </c>
      <c r="R33" s="20">
        <v>1038.45</v>
      </c>
      <c r="S33" s="20">
        <v>556.54999999999995</v>
      </c>
      <c r="T33" s="20">
        <v>1114.44</v>
      </c>
    </row>
    <row r="34" spans="2:20" x14ac:dyDescent="0.3">
      <c r="B34" s="2"/>
      <c r="C34" s="55"/>
      <c r="D34" s="55"/>
      <c r="E34" s="55"/>
      <c r="F34" s="22">
        <f t="shared" ref="F34" si="21">F32-F33</f>
        <v>0</v>
      </c>
      <c r="G34" s="22">
        <f t="shared" ref="G34" si="22">G32-G33</f>
        <v>0</v>
      </c>
      <c r="H34" s="22">
        <f t="shared" ref="H34" si="23">H32-H33</f>
        <v>0</v>
      </c>
      <c r="I34" s="22">
        <f t="shared" ref="I34:J34" si="24">I32-I33</f>
        <v>0</v>
      </c>
      <c r="J34" s="22">
        <f t="shared" si="24"/>
        <v>0</v>
      </c>
      <c r="K34" s="22">
        <f t="shared" ref="K34" si="25">K32-K33</f>
        <v>0</v>
      </c>
      <c r="L34" s="45"/>
      <c r="M34" s="46" t="s">
        <v>33</v>
      </c>
      <c r="N34" s="20"/>
      <c r="O34" s="20"/>
      <c r="P34" s="20"/>
      <c r="Q34" s="20"/>
      <c r="R34" s="20"/>
      <c r="S34" s="20"/>
      <c r="T34" s="20"/>
    </row>
    <row r="35" spans="2:20" x14ac:dyDescent="0.3">
      <c r="B35" s="2" t="s">
        <v>87</v>
      </c>
      <c r="C35" s="16"/>
      <c r="D35" s="16"/>
      <c r="E35" s="16"/>
      <c r="F35" s="19">
        <f>F31+F34</f>
        <v>147.70999999999944</v>
      </c>
      <c r="G35" s="19">
        <f t="shared" ref="G35:I35" si="26">G31+G34</f>
        <v>287.98999999999978</v>
      </c>
      <c r="H35" s="19">
        <f t="shared" si="26"/>
        <v>431.26000000000045</v>
      </c>
      <c r="I35" s="19">
        <f t="shared" si="26"/>
        <v>567.93000000000018</v>
      </c>
      <c r="J35" s="19">
        <f t="shared" ref="J35:K35" si="27">J31+J34</f>
        <v>321.08999999999969</v>
      </c>
      <c r="K35" s="19">
        <f t="shared" si="27"/>
        <v>667.5900000000006</v>
      </c>
      <c r="L35" s="45"/>
      <c r="M35" s="46" t="s">
        <v>36</v>
      </c>
      <c r="N35" s="20">
        <v>0</v>
      </c>
      <c r="O35" s="20">
        <v>0</v>
      </c>
      <c r="P35" s="20">
        <v>0</v>
      </c>
      <c r="Q35" s="20">
        <v>0</v>
      </c>
      <c r="R35" s="20">
        <v>0</v>
      </c>
      <c r="S35" s="20">
        <v>320.70999999999998</v>
      </c>
      <c r="T35" s="20">
        <v>390.21</v>
      </c>
    </row>
    <row r="36" spans="2:20" x14ac:dyDescent="0.3">
      <c r="B36" s="53" t="s">
        <v>88</v>
      </c>
      <c r="C36" s="49"/>
      <c r="D36" s="49"/>
      <c r="E36" s="49"/>
      <c r="F36" s="77">
        <f t="shared" ref="F36:K36" si="28">IF(F35/F5&gt;100%,"N.A.",IF(F35/F5&lt;-100%,"N.A.",(F35/F5)))</f>
        <v>3.6983807847447599E-2</v>
      </c>
      <c r="G36" s="77">
        <f t="shared" si="28"/>
        <v>6.6159274795657183E-2</v>
      </c>
      <c r="H36" s="77">
        <f t="shared" si="28"/>
        <v>7.0371881272131009E-2</v>
      </c>
      <c r="I36" s="77">
        <f t="shared" si="28"/>
        <v>7.238686883106292E-2</v>
      </c>
      <c r="J36" s="77">
        <f t="shared" si="28"/>
        <v>4.8089970435204528E-2</v>
      </c>
      <c r="K36" s="77">
        <f t="shared" si="28"/>
        <v>7.8730435028728382E-2</v>
      </c>
      <c r="L36" s="45"/>
      <c r="M36" s="46" t="s">
        <v>34</v>
      </c>
      <c r="N36" s="20">
        <v>488.26</v>
      </c>
      <c r="O36" s="20">
        <v>499.55</v>
      </c>
      <c r="P36" s="20">
        <v>897.95</v>
      </c>
      <c r="Q36" s="20">
        <v>947.71</v>
      </c>
      <c r="R36" s="20">
        <v>1156.0899999999999</v>
      </c>
      <c r="S36" s="20">
        <v>1166.8800000000001</v>
      </c>
      <c r="T36" s="20">
        <v>1418.52</v>
      </c>
    </row>
    <row r="37" spans="2:20" x14ac:dyDescent="0.3">
      <c r="B37" s="53" t="s">
        <v>67</v>
      </c>
      <c r="C37" s="49"/>
      <c r="D37" s="49"/>
      <c r="E37" s="49"/>
      <c r="F37" s="76" t="str">
        <f>IFERROR(IF(F35/E35-1&gt;100,"N.A.",IF(F35/E35-1&gt;-100,"N.A.",F35/E35-1)),"N.A.")</f>
        <v>N.A.</v>
      </c>
      <c r="G37" s="76">
        <f>IF(G35/F35-1&gt;100%,"N.A.",IF(G35/F35-1&lt;-100%,"N.A.",G35/F35-1))</f>
        <v>0.94969873400582805</v>
      </c>
      <c r="H37" s="76">
        <f>IF(H35/G35-1&gt;100%,"N.A.",IF(H35/G35-1&lt;-100%,"N.A.",H35/G35-1))</f>
        <v>0.49748255147748455</v>
      </c>
      <c r="I37" s="76">
        <f>IF(I35/H35-1&gt;100%,"N.A.",IF(I35/H35-1&lt;-100%,"N.A.",I35/H35-1))</f>
        <v>0.31690859342391975</v>
      </c>
      <c r="J37" s="76">
        <f>IF(J35/I35-1&gt;100%,"N.A.",IF(J35/I35-1&lt;-100%,"N.A.",J35/I35-1))</f>
        <v>-0.43463102847181945</v>
      </c>
      <c r="K37" s="76" t="str">
        <f>IF(K35/J35-1&gt;100%,"N.A.",IF(K35/J35-1&lt;-100%,"N.A.",K35/J35-1))</f>
        <v>N.A.</v>
      </c>
      <c r="L37" s="45"/>
      <c r="M37" s="46" t="s">
        <v>35</v>
      </c>
      <c r="N37" s="20">
        <v>7.07</v>
      </c>
      <c r="O37" s="20">
        <v>6.98</v>
      </c>
      <c r="P37" s="20">
        <v>47.06</v>
      </c>
      <c r="Q37" s="20">
        <v>58.53</v>
      </c>
      <c r="R37" s="20">
        <v>35.479999999999997</v>
      </c>
      <c r="S37" s="20">
        <v>466.93</v>
      </c>
      <c r="T37" s="20">
        <v>313.77</v>
      </c>
    </row>
    <row r="38" spans="2:20" x14ac:dyDescent="0.3">
      <c r="B38" s="53" t="s">
        <v>77</v>
      </c>
      <c r="C38" s="49"/>
      <c r="D38" s="49"/>
      <c r="E38" s="49"/>
      <c r="F38" s="76" t="str">
        <f>IFERROR(IF((F35/C35)^(1/3)-1&lt;-100%,"N.A.",IF((F35/C35)^(1/3)-1&gt;100%,"N.A.",((F35/C35)^(1/3)-1))),"N.A.")</f>
        <v>N.A.</v>
      </c>
      <c r="G38" s="76" t="str">
        <f t="shared" ref="G38:H38" si="29">IFERROR(IF((G35/D35)^(1/3)-1&lt;-100%,"N.A.",IF((G35/D35)^(1/3)-1&gt;100%,"N.A.",((G35/D35)^(1/3)-1))),"N.A.")</f>
        <v>N.A.</v>
      </c>
      <c r="H38" s="76" t="str">
        <f t="shared" si="29"/>
        <v>N.A.</v>
      </c>
      <c r="I38" s="76">
        <f>IF((I35/F35)^(1/3)-1&lt;-100%,"N.A.",IF((I35/F35)^(1/3)-1&gt;100%,"N.A.",((I35/F35)^(1/3)-1)))</f>
        <v>0.56661267999914</v>
      </c>
      <c r="J38" s="76">
        <f t="shared" ref="J38" si="30">IF((J35/G35)^(1/3)-1&lt;-100%,"N.A.",IF((J35/G35)^(1/3)-1&gt;100%,"N.A.",((J35/G35)^(1/3)-1)))</f>
        <v>3.6930838765723673E-2</v>
      </c>
      <c r="K38" s="76">
        <f>IF((K35/H35)^(1/3)-1&lt;-100%,"N.A.",IF((K35/H35)^(1/3)-1&gt;100%,"N.A.",((K35/H35)^(1/3)-1)))</f>
        <v>0.15679627468449842</v>
      </c>
      <c r="L38" s="45"/>
      <c r="M38" s="46" t="s">
        <v>37</v>
      </c>
      <c r="N38" s="20">
        <v>0.03</v>
      </c>
      <c r="O38" s="20">
        <v>0.04</v>
      </c>
      <c r="P38" s="20">
        <v>4.46</v>
      </c>
      <c r="Q38" s="20">
        <v>22.08</v>
      </c>
      <c r="R38" s="20">
        <v>13.09</v>
      </c>
      <c r="S38" s="20">
        <v>1000.04</v>
      </c>
      <c r="T38" s="20">
        <v>739.54</v>
      </c>
    </row>
    <row r="39" spans="2:20" x14ac:dyDescent="0.3">
      <c r="B39" s="46" t="s">
        <v>89</v>
      </c>
      <c r="C39" s="51"/>
      <c r="D39" s="51"/>
      <c r="E39" s="51"/>
      <c r="F39" s="20"/>
      <c r="G39" s="20"/>
      <c r="H39" s="20"/>
      <c r="I39" s="20"/>
      <c r="J39" s="20"/>
      <c r="K39" s="20"/>
      <c r="L39" s="45"/>
      <c r="M39" s="46" t="s">
        <v>38</v>
      </c>
      <c r="N39" s="20">
        <v>12.5</v>
      </c>
      <c r="O39" s="20">
        <v>17.2</v>
      </c>
      <c r="P39" s="20">
        <v>19.5</v>
      </c>
      <c r="Q39" s="20">
        <v>17.600000000000001</v>
      </c>
      <c r="R39" s="20">
        <v>18.399999999999999</v>
      </c>
      <c r="S39" s="20">
        <v>0</v>
      </c>
      <c r="T39" s="20">
        <v>0</v>
      </c>
    </row>
    <row r="40" spans="2:20" x14ac:dyDescent="0.3">
      <c r="B40" s="46" t="s">
        <v>137</v>
      </c>
      <c r="C40" s="51"/>
      <c r="D40" s="51"/>
      <c r="E40" s="51"/>
      <c r="F40" s="20"/>
      <c r="G40" s="20"/>
      <c r="H40" s="20"/>
      <c r="I40" s="20"/>
      <c r="J40" s="20"/>
      <c r="K40" s="20"/>
      <c r="L40" s="45"/>
      <c r="M40" s="46" t="s">
        <v>39</v>
      </c>
      <c r="N40" s="20">
        <v>47.02</v>
      </c>
      <c r="O40" s="20">
        <v>46.75</v>
      </c>
      <c r="P40" s="20">
        <v>51.44</v>
      </c>
      <c r="Q40" s="20">
        <v>89.22</v>
      </c>
      <c r="R40" s="20">
        <v>211.28</v>
      </c>
      <c r="S40" s="20">
        <v>180.44</v>
      </c>
      <c r="T40" s="20">
        <v>186.47</v>
      </c>
    </row>
    <row r="41" spans="2:20" x14ac:dyDescent="0.3">
      <c r="B41" s="57" t="s">
        <v>138</v>
      </c>
      <c r="C41" s="51"/>
      <c r="D41" s="51"/>
      <c r="E41" s="51"/>
      <c r="F41" s="20">
        <v>0</v>
      </c>
      <c r="G41" s="20">
        <v>1.26</v>
      </c>
      <c r="H41" s="20">
        <v>1.1200000000000001</v>
      </c>
      <c r="I41" s="20">
        <v>1.3</v>
      </c>
      <c r="J41" s="20">
        <v>0.3</v>
      </c>
      <c r="K41" s="20">
        <v>1.46</v>
      </c>
      <c r="L41" s="45"/>
      <c r="M41" s="46" t="s">
        <v>143</v>
      </c>
      <c r="N41" s="20">
        <v>0</v>
      </c>
      <c r="O41" s="20">
        <v>0.18</v>
      </c>
      <c r="P41" s="20">
        <v>0</v>
      </c>
      <c r="Q41" s="20">
        <v>0</v>
      </c>
      <c r="R41" s="20">
        <v>0</v>
      </c>
      <c r="S41" s="20">
        <v>0</v>
      </c>
      <c r="T41" s="20">
        <v>0</v>
      </c>
    </row>
    <row r="42" spans="2:20" ht="28.8" x14ac:dyDescent="0.3">
      <c r="B42" s="57" t="s">
        <v>139</v>
      </c>
      <c r="C42" s="51"/>
      <c r="D42" s="51"/>
      <c r="E42" s="51"/>
      <c r="F42" s="20">
        <v>0</v>
      </c>
      <c r="G42" s="20">
        <v>0</v>
      </c>
      <c r="H42" s="20">
        <v>0</v>
      </c>
      <c r="I42" s="20">
        <v>0</v>
      </c>
      <c r="J42" s="20">
        <v>60.9</v>
      </c>
      <c r="K42" s="20">
        <v>23.1</v>
      </c>
      <c r="L42" s="45"/>
      <c r="M42" s="46" t="s">
        <v>144</v>
      </c>
      <c r="N42" s="20">
        <v>122.57</v>
      </c>
      <c r="O42" s="20">
        <v>162.5</v>
      </c>
      <c r="P42" s="20">
        <v>259.49</v>
      </c>
      <c r="Q42" s="20">
        <v>227.47</v>
      </c>
      <c r="R42" s="20">
        <v>90.56</v>
      </c>
      <c r="S42" s="20">
        <v>247.33</v>
      </c>
      <c r="T42" s="20">
        <v>277.44</v>
      </c>
    </row>
    <row r="43" spans="2:20" ht="28.8" x14ac:dyDescent="0.3">
      <c r="B43" s="57" t="s">
        <v>140</v>
      </c>
      <c r="C43" s="51"/>
      <c r="D43" s="51"/>
      <c r="E43" s="51"/>
      <c r="F43" s="20">
        <v>0</v>
      </c>
      <c r="G43" s="20">
        <v>0.32</v>
      </c>
      <c r="H43" s="20">
        <v>0.28000000000000003</v>
      </c>
      <c r="I43" s="20">
        <v>0.33</v>
      </c>
      <c r="J43" s="20">
        <v>14.01</v>
      </c>
      <c r="K43" s="20">
        <v>4.0999999999999996</v>
      </c>
      <c r="L43" s="45"/>
      <c r="M43" s="2" t="s">
        <v>40</v>
      </c>
      <c r="N43" s="19">
        <f t="shared" ref="N43:S43" si="31">SUM(N33:N42)</f>
        <v>1401.5399999999997</v>
      </c>
      <c r="O43" s="19">
        <f t="shared" si="31"/>
        <v>1188.5800000000002</v>
      </c>
      <c r="P43" s="19">
        <f t="shared" si="31"/>
        <v>1766.3100000000002</v>
      </c>
      <c r="Q43" s="19">
        <f t="shared" si="31"/>
        <v>2245.2699999999995</v>
      </c>
      <c r="R43" s="19">
        <f t="shared" si="31"/>
        <v>2563.3500000000004</v>
      </c>
      <c r="S43" s="19">
        <f t="shared" si="31"/>
        <v>3938.88</v>
      </c>
      <c r="T43" s="19">
        <f t="shared" ref="T43" si="32">SUM(T33:T42)</f>
        <v>4440.3899999999994</v>
      </c>
    </row>
    <row r="44" spans="2:20" x14ac:dyDescent="0.3">
      <c r="B44" s="1" t="s">
        <v>90</v>
      </c>
      <c r="C44" s="51"/>
      <c r="D44" s="51"/>
      <c r="E44" s="51"/>
      <c r="F44" s="20">
        <f t="shared" ref="F44:K44" si="33">+F41+F42-F43</f>
        <v>0</v>
      </c>
      <c r="G44" s="20">
        <f t="shared" si="33"/>
        <v>0.94</v>
      </c>
      <c r="H44" s="20">
        <f t="shared" si="33"/>
        <v>0.84000000000000008</v>
      </c>
      <c r="I44" s="20">
        <f t="shared" si="33"/>
        <v>0.97</v>
      </c>
      <c r="J44" s="20">
        <f t="shared" si="33"/>
        <v>47.19</v>
      </c>
      <c r="K44" s="20">
        <f>+K41+K42-K43</f>
        <v>20.46</v>
      </c>
      <c r="L44" s="45"/>
      <c r="M44" s="1" t="s">
        <v>41</v>
      </c>
      <c r="N44" s="23"/>
      <c r="O44" s="20"/>
      <c r="P44" s="20"/>
      <c r="Q44" s="20"/>
      <c r="R44" s="20"/>
      <c r="S44" s="20"/>
      <c r="T44" s="20"/>
    </row>
    <row r="45" spans="2:20" x14ac:dyDescent="0.3">
      <c r="B45" s="46"/>
      <c r="C45" s="51"/>
      <c r="D45" s="51"/>
      <c r="E45" s="51"/>
      <c r="F45" s="20"/>
      <c r="G45" s="20"/>
      <c r="H45" s="20"/>
      <c r="I45" s="20"/>
      <c r="J45" s="20"/>
      <c r="K45" s="20"/>
      <c r="L45" s="45"/>
      <c r="M45" s="46" t="s">
        <v>42</v>
      </c>
      <c r="N45" s="20"/>
      <c r="O45" s="20"/>
      <c r="P45" s="20"/>
      <c r="Q45" s="20"/>
      <c r="R45" s="20"/>
      <c r="S45" s="20"/>
      <c r="T45" s="20"/>
    </row>
    <row r="46" spans="2:20" x14ac:dyDescent="0.3">
      <c r="B46" s="2" t="s">
        <v>91</v>
      </c>
      <c r="C46" s="33"/>
      <c r="D46" s="33"/>
      <c r="E46" s="33"/>
      <c r="F46" s="19">
        <f t="shared" ref="F46:K46" si="34">F35+F44</f>
        <v>147.70999999999944</v>
      </c>
      <c r="G46" s="19">
        <f t="shared" si="34"/>
        <v>288.92999999999978</v>
      </c>
      <c r="H46" s="19">
        <f t="shared" si="34"/>
        <v>432.10000000000042</v>
      </c>
      <c r="I46" s="19">
        <f t="shared" si="34"/>
        <v>568.9000000000002</v>
      </c>
      <c r="J46" s="19">
        <f t="shared" si="34"/>
        <v>368.27999999999969</v>
      </c>
      <c r="K46" s="19">
        <f>K35+K44</f>
        <v>688.05000000000064</v>
      </c>
      <c r="L46" s="45"/>
      <c r="M46" s="46" t="s">
        <v>43</v>
      </c>
      <c r="N46" s="20">
        <f t="shared" ref="N46:S46" si="35">N10</f>
        <v>73.66</v>
      </c>
      <c r="O46" s="20">
        <f t="shared" si="35"/>
        <v>57.24</v>
      </c>
      <c r="P46" s="20">
        <f t="shared" si="35"/>
        <v>54.79</v>
      </c>
      <c r="Q46" s="20">
        <f t="shared" si="35"/>
        <v>55.95</v>
      </c>
      <c r="R46" s="20">
        <f t="shared" si="35"/>
        <v>67.150000000000006</v>
      </c>
      <c r="S46" s="20">
        <f t="shared" si="35"/>
        <v>36.090000000000003</v>
      </c>
      <c r="T46" s="20">
        <f t="shared" ref="T46" si="36">T10</f>
        <v>0.49</v>
      </c>
    </row>
    <row r="47" spans="2:20" x14ac:dyDescent="0.3">
      <c r="B47" s="53" t="s">
        <v>67</v>
      </c>
      <c r="C47" s="49"/>
      <c r="D47" s="49"/>
      <c r="E47" s="49"/>
      <c r="F47" s="76" t="str">
        <f>IFERROR(IF(F46/E46-1&gt;100%,"N.A.",IF(F46/E46-1&lt;-100%,"N.A.",(F46/E46-1))),"N.A.")</f>
        <v>N.A.</v>
      </c>
      <c r="G47" s="76">
        <f t="shared" ref="G47:K47" si="37">IF(G46/F46-1&gt;100%,"N.A.",IF(G46/F46-1&lt;-100%,"N.A.",(G46/F46-1)))</f>
        <v>0.95606255500643744</v>
      </c>
      <c r="H47" s="77">
        <f t="shared" si="37"/>
        <v>0.49551794552313977</v>
      </c>
      <c r="I47" s="77">
        <f t="shared" si="37"/>
        <v>0.31659338116176738</v>
      </c>
      <c r="J47" s="77">
        <f t="shared" si="37"/>
        <v>-0.35264545614343545</v>
      </c>
      <c r="K47" s="77">
        <f t="shared" si="37"/>
        <v>0.86827956989247634</v>
      </c>
      <c r="L47" s="45"/>
      <c r="M47" s="46" t="s">
        <v>49</v>
      </c>
      <c r="N47" s="20">
        <v>0</v>
      </c>
      <c r="O47" s="20">
        <v>0</v>
      </c>
      <c r="P47" s="20">
        <v>0</v>
      </c>
      <c r="Q47" s="20">
        <v>0</v>
      </c>
      <c r="R47" s="20">
        <v>0</v>
      </c>
      <c r="S47" s="20">
        <v>0</v>
      </c>
      <c r="T47" s="20">
        <v>0</v>
      </c>
    </row>
    <row r="48" spans="2:20" x14ac:dyDescent="0.3">
      <c r="B48" s="53" t="s">
        <v>77</v>
      </c>
      <c r="C48" s="58"/>
      <c r="D48" s="58"/>
      <c r="E48" s="58"/>
      <c r="F48" s="76" t="str">
        <f>IFERROR(IF((F46/C46)^(1/3)-1&gt;100%,"N.A.",IF((F46/C46)^(1/3)-1&lt;-100%,"N.A.",((F46/C46)^(1/3)-1))),"N.A.")</f>
        <v>N.A.</v>
      </c>
      <c r="G48" s="76" t="str">
        <f t="shared" ref="G48:H48" si="38">IFERROR(IF((G46/D46)^(1/3)-1&gt;100%,"N.A.",IF((G46/D46)^(1/3)-1&lt;-100%,"N.A.",((G46/D46)^(1/3)-1))),"N.A.")</f>
        <v>N.A.</v>
      </c>
      <c r="H48" s="76" t="str">
        <f t="shared" si="38"/>
        <v>N.A.</v>
      </c>
      <c r="I48" s="77">
        <f>IF((I46/F46)^(1/3)-1&gt;100%,"N.A.",IF((I46/F46)^(1/3)-1&lt;-100%,"N.A.",((I46/F46)^(1/3)-1)))</f>
        <v>0.56750407505034639</v>
      </c>
      <c r="J48" s="77">
        <f>IF((J46/G46)^(1/3)-1&gt;100%,"N.A.",IF((J46/G46)^(1/3)-1&lt;-100%,"N.A.",((J46/G46)^(1/3)-1)))</f>
        <v>8.4247673555731373E-2</v>
      </c>
      <c r="K48" s="77">
        <f>IF((K46/H46)^(1/3)-1&gt;100%,"N.A.",IF((K46/H46)^(1/3)-1&lt;-100%,"N.A.",((K46/H46)^(1/3)-1)))</f>
        <v>0.16773754623576198</v>
      </c>
      <c r="L48" s="45"/>
      <c r="M48" s="46" t="s">
        <v>95</v>
      </c>
      <c r="N48" s="24">
        <v>2</v>
      </c>
      <c r="O48" s="24">
        <v>2</v>
      </c>
      <c r="P48" s="24">
        <v>2</v>
      </c>
      <c r="Q48" s="24">
        <v>0</v>
      </c>
      <c r="R48" s="24">
        <v>0</v>
      </c>
      <c r="S48" s="24">
        <v>0</v>
      </c>
      <c r="T48" s="24">
        <v>0</v>
      </c>
    </row>
    <row r="49" spans="2:20" x14ac:dyDescent="0.3">
      <c r="B49" s="46" t="s">
        <v>94</v>
      </c>
      <c r="C49" s="46"/>
      <c r="D49" s="46"/>
      <c r="E49" s="46"/>
      <c r="F49" s="20"/>
      <c r="G49" s="20"/>
      <c r="H49" s="20"/>
      <c r="I49" s="20"/>
      <c r="J49" s="20"/>
      <c r="K49" s="20"/>
      <c r="L49" s="45"/>
      <c r="M49" s="46" t="s">
        <v>44</v>
      </c>
      <c r="N49" s="20">
        <v>0.63</v>
      </c>
      <c r="O49" s="20">
        <v>1.33</v>
      </c>
      <c r="P49" s="20">
        <v>1.78</v>
      </c>
      <c r="Q49" s="20">
        <v>2.38</v>
      </c>
      <c r="R49" s="20">
        <v>2.85</v>
      </c>
      <c r="S49" s="20">
        <v>4.13</v>
      </c>
      <c r="T49" s="20">
        <v>4.49</v>
      </c>
    </row>
    <row r="50" spans="2:20" x14ac:dyDescent="0.3">
      <c r="B50" s="59" t="s">
        <v>92</v>
      </c>
      <c r="C50" s="60"/>
      <c r="D50" s="60"/>
      <c r="E50" s="60"/>
      <c r="F50" s="20"/>
      <c r="G50" s="20">
        <v>7.39</v>
      </c>
      <c r="H50" s="20">
        <v>12.61</v>
      </c>
      <c r="I50" s="20">
        <v>17.32</v>
      </c>
      <c r="J50" s="20">
        <v>9.6</v>
      </c>
      <c r="K50" s="20">
        <v>16.34</v>
      </c>
      <c r="L50" s="45"/>
      <c r="M50" s="46" t="s">
        <v>45</v>
      </c>
      <c r="N50" s="24">
        <v>0</v>
      </c>
      <c r="O50" s="24">
        <v>0</v>
      </c>
      <c r="P50" s="24">
        <v>1.19</v>
      </c>
      <c r="Q50" s="20">
        <v>0</v>
      </c>
      <c r="R50" s="20">
        <v>5.89</v>
      </c>
      <c r="S50" s="20">
        <v>0</v>
      </c>
      <c r="T50" s="20">
        <v>5.1100000000000003</v>
      </c>
    </row>
    <row r="51" spans="2:20" x14ac:dyDescent="0.3">
      <c r="B51" s="59" t="s">
        <v>93</v>
      </c>
      <c r="C51" s="60"/>
      <c r="D51" s="60"/>
      <c r="E51" s="60"/>
      <c r="F51" s="20"/>
      <c r="G51" s="20">
        <v>7.39</v>
      </c>
      <c r="H51" s="20">
        <v>12.61</v>
      </c>
      <c r="I51" s="20">
        <v>17.32</v>
      </c>
      <c r="J51" s="20">
        <v>9.6</v>
      </c>
      <c r="K51" s="20">
        <v>16.34</v>
      </c>
      <c r="L51" s="45"/>
      <c r="M51" s="46" t="s">
        <v>46</v>
      </c>
      <c r="N51" s="24">
        <v>0</v>
      </c>
      <c r="O51" s="20">
        <v>0</v>
      </c>
      <c r="P51" s="20">
        <v>0</v>
      </c>
      <c r="Q51" s="20">
        <v>0</v>
      </c>
      <c r="R51" s="20">
        <v>0</v>
      </c>
      <c r="S51" s="20">
        <v>0</v>
      </c>
      <c r="T51" s="20">
        <v>0</v>
      </c>
    </row>
    <row r="52" spans="2:20" x14ac:dyDescent="0.3">
      <c r="B52" s="53" t="s">
        <v>67</v>
      </c>
      <c r="C52" s="58"/>
      <c r="D52" s="58"/>
      <c r="E52" s="58"/>
      <c r="F52" s="76" t="str">
        <f>IFERROR(IF(F51/E51-1&gt;100%,"N.A.",IF(F51/E51-1&lt;-100%,"N.A.",(F51/E51-1))),"N.A.")</f>
        <v>N.A.</v>
      </c>
      <c r="G52" s="76" t="str">
        <f>IFERROR(IF(G51/F51-1&gt;100%,"N.A.",IF(G51/F51-1&lt;-100%,"N.A.",(G51/F51-1))),"N.A.")</f>
        <v>N.A.</v>
      </c>
      <c r="H52" s="76">
        <f>IF(H51/G51-1&gt;100%,"N.A.",IF(H51/G51-1&lt;-100%,"N.A.",(H51/G51-1)))</f>
        <v>0.70635994587280115</v>
      </c>
      <c r="I52" s="76">
        <f>IF(I51/H51-1&gt;100%,"N.A.",IF(I51/H51-1&lt;-100%,"N.A.",(I51/H51-1)))</f>
        <v>0.37351308485329104</v>
      </c>
      <c r="J52" s="76">
        <f>IF(J51/I51-1&gt;100%,"N.A.",IF(J51/I51-1&lt;-100%,"N.A.",(J51/I51-1)))</f>
        <v>-0.44572748267898388</v>
      </c>
      <c r="K52" s="76">
        <f>IF(K51/J51-1&gt;100%,"N.A.",IF(K51/J51-1&lt;-100%,"N.A.",(K51/J51-1)))</f>
        <v>0.70208333333333339</v>
      </c>
      <c r="L52" s="14"/>
      <c r="M52" s="2" t="s">
        <v>47</v>
      </c>
      <c r="N52" s="19">
        <f t="shared" ref="N52:Q52" si="39">SUM(N46:N51)</f>
        <v>76.289999999999992</v>
      </c>
      <c r="O52" s="19">
        <f t="shared" si="39"/>
        <v>60.57</v>
      </c>
      <c r="P52" s="19">
        <f t="shared" si="39"/>
        <v>59.76</v>
      </c>
      <c r="Q52" s="19">
        <f t="shared" si="39"/>
        <v>58.330000000000005</v>
      </c>
      <c r="R52" s="19">
        <f>SUM(R46:R51)</f>
        <v>75.89</v>
      </c>
      <c r="S52" s="19">
        <f>SUM(S46:S51)</f>
        <v>40.220000000000006</v>
      </c>
      <c r="T52" s="19">
        <f>SUM(T46:T51)</f>
        <v>10.09</v>
      </c>
    </row>
    <row r="53" spans="2:20" x14ac:dyDescent="0.3">
      <c r="B53" s="53" t="s">
        <v>77</v>
      </c>
      <c r="C53" s="58"/>
      <c r="D53" s="58"/>
      <c r="E53" s="58"/>
      <c r="F53" s="76" t="str">
        <f>IFERROR(IF((F51/C51)^(1/3)-1&gt;100%,"N.A.",IF((F51/C51)^(1/3)-1&lt;-100%,"N.A.",((F51/C51)^(1/3)-1))),"N.A.")</f>
        <v>N.A.</v>
      </c>
      <c r="G53" s="76" t="str">
        <f t="shared" ref="G53:I53" si="40">IFERROR(IF((G51/D51)^(1/3)-1&gt;100%,"N.A.",IF((G51/D51)^(1/3)-1&lt;-100%,"N.A.",((G51/D51)^(1/3)-1))),"N.A.")</f>
        <v>N.A.</v>
      </c>
      <c r="H53" s="76" t="str">
        <f t="shared" si="40"/>
        <v>N.A.</v>
      </c>
      <c r="I53" s="76" t="str">
        <f t="shared" si="40"/>
        <v>N.A.</v>
      </c>
      <c r="J53" s="77">
        <f>IF((J51/G51)^(1/3)-1&gt;100%,"N.A.",IF((J51/G51)^(1/3)-1&lt;-100%,"N.A.",((J51/G51)^(1/3)-1)))</f>
        <v>9.1127742834755665E-2</v>
      </c>
      <c r="K53" s="77">
        <f>IF((K51/H51)^(1/3)-1&gt;100%,"N.A.",IF((K51/H51)^(1/3)-1&lt;-100%,"N.A.",((K51/H51)^(1/3)-1)))</f>
        <v>9.0215423717563636E-2</v>
      </c>
      <c r="L53" s="45"/>
      <c r="M53" s="1" t="s">
        <v>48</v>
      </c>
      <c r="N53" s="23"/>
      <c r="O53" s="20"/>
      <c r="P53" s="20"/>
      <c r="Q53" s="20"/>
      <c r="R53" s="20"/>
      <c r="S53" s="20"/>
      <c r="T53" s="20"/>
    </row>
    <row r="54" spans="2:20" x14ac:dyDescent="0.3">
      <c r="F54" s="25"/>
      <c r="G54" s="25"/>
      <c r="H54" s="25"/>
      <c r="I54" s="25"/>
      <c r="J54" s="25"/>
      <c r="K54" s="25"/>
      <c r="L54" s="45"/>
      <c r="M54" s="46" t="s">
        <v>42</v>
      </c>
      <c r="N54" s="20"/>
      <c r="O54" s="20"/>
      <c r="P54" s="20"/>
      <c r="Q54" s="20"/>
      <c r="R54" s="20"/>
      <c r="S54" s="20"/>
      <c r="T54" s="20"/>
    </row>
    <row r="55" spans="2:20" x14ac:dyDescent="0.3">
      <c r="B55" s="3" t="s">
        <v>105</v>
      </c>
      <c r="C55" s="61"/>
      <c r="D55" s="61"/>
      <c r="E55" s="61" t="s">
        <v>3</v>
      </c>
      <c r="F55" s="26" t="s">
        <v>4</v>
      </c>
      <c r="G55" s="26" t="s">
        <v>5</v>
      </c>
      <c r="H55" s="26" t="s">
        <v>6</v>
      </c>
      <c r="I55" s="26" t="s">
        <v>7</v>
      </c>
      <c r="J55" s="71" t="s">
        <v>135</v>
      </c>
      <c r="K55" s="71" t="s">
        <v>149</v>
      </c>
      <c r="L55" s="45"/>
      <c r="M55" s="46" t="s">
        <v>43</v>
      </c>
      <c r="N55" s="20">
        <f t="shared" ref="N55:T55" si="41">N11</f>
        <v>682.88</v>
      </c>
      <c r="O55" s="20">
        <f t="shared" si="41"/>
        <v>467.01</v>
      </c>
      <c r="P55" s="20">
        <f t="shared" si="41"/>
        <v>689.71</v>
      </c>
      <c r="Q55" s="20">
        <f t="shared" si="41"/>
        <v>883.46</v>
      </c>
      <c r="R55" s="20">
        <f t="shared" si="41"/>
        <v>636.36</v>
      </c>
      <c r="S55" s="20">
        <f t="shared" si="41"/>
        <v>101.67</v>
      </c>
      <c r="T55" s="20">
        <f t="shared" si="41"/>
        <v>1.51</v>
      </c>
    </row>
    <row r="56" spans="2:20" x14ac:dyDescent="0.3">
      <c r="B56" s="1" t="s">
        <v>100</v>
      </c>
      <c r="C56" s="46"/>
      <c r="D56" s="13"/>
      <c r="E56" s="13"/>
      <c r="F56" s="27">
        <v>7.07</v>
      </c>
      <c r="G56" s="27">
        <v>6.98</v>
      </c>
      <c r="H56" s="27">
        <v>47.06</v>
      </c>
      <c r="I56" s="27">
        <v>58.53</v>
      </c>
      <c r="J56" s="72">
        <v>35.479999999999997</v>
      </c>
      <c r="K56" s="72">
        <f>S37</f>
        <v>466.93</v>
      </c>
      <c r="L56" s="45"/>
      <c r="M56" s="46" t="s">
        <v>49</v>
      </c>
      <c r="N56" s="24">
        <v>0</v>
      </c>
      <c r="O56" s="24">
        <v>0</v>
      </c>
      <c r="P56" s="24">
        <v>0</v>
      </c>
      <c r="Q56" s="20">
        <v>0</v>
      </c>
      <c r="R56" s="20">
        <v>0</v>
      </c>
      <c r="S56" s="20">
        <v>0</v>
      </c>
      <c r="T56" s="20">
        <v>0</v>
      </c>
    </row>
    <row r="57" spans="2:20" x14ac:dyDescent="0.3">
      <c r="B57" s="59" t="s">
        <v>96</v>
      </c>
      <c r="C57" s="46"/>
      <c r="D57" s="13"/>
      <c r="E57" s="13"/>
      <c r="F57" s="27">
        <v>408.67</v>
      </c>
      <c r="G57" s="27">
        <v>-73.459999999999994</v>
      </c>
      <c r="H57" s="27">
        <v>67.52</v>
      </c>
      <c r="I57" s="27">
        <v>311.69</v>
      </c>
      <c r="J57" s="72">
        <v>759.64</v>
      </c>
      <c r="K57" s="72">
        <v>-111.97</v>
      </c>
      <c r="L57" s="45"/>
      <c r="M57" s="46" t="s">
        <v>50</v>
      </c>
      <c r="N57" s="20"/>
      <c r="O57" s="20"/>
      <c r="P57" s="20"/>
      <c r="Q57" s="20"/>
      <c r="R57" s="20"/>
      <c r="S57" s="20"/>
      <c r="T57" s="20"/>
    </row>
    <row r="58" spans="2:20" x14ac:dyDescent="0.3">
      <c r="B58" s="59" t="s">
        <v>97</v>
      </c>
      <c r="C58" s="46"/>
      <c r="D58" s="13"/>
      <c r="E58" s="13"/>
      <c r="F58" s="27">
        <v>-113.31</v>
      </c>
      <c r="G58" s="27">
        <v>-56</v>
      </c>
      <c r="H58" s="27">
        <v>-54.15</v>
      </c>
      <c r="I58" s="27">
        <v>-48.97</v>
      </c>
      <c r="J58" s="72">
        <v>-1398.52</v>
      </c>
      <c r="K58" s="72">
        <v>247.6</v>
      </c>
      <c r="L58" s="45"/>
      <c r="M58" s="46" t="s">
        <v>51</v>
      </c>
      <c r="N58" s="20">
        <v>1.65</v>
      </c>
      <c r="O58" s="20">
        <v>2.59</v>
      </c>
      <c r="P58" s="20">
        <v>2.73</v>
      </c>
      <c r="Q58" s="24">
        <v>9.81</v>
      </c>
      <c r="R58" s="20">
        <v>7.67</v>
      </c>
      <c r="S58" s="20">
        <v>7.28</v>
      </c>
      <c r="T58" s="20">
        <v>6.05</v>
      </c>
    </row>
    <row r="59" spans="2:20" ht="28.8" x14ac:dyDescent="0.3">
      <c r="B59" s="59" t="s">
        <v>98</v>
      </c>
      <c r="C59" s="46"/>
      <c r="D59" s="13"/>
      <c r="E59" s="13"/>
      <c r="F59" s="27">
        <v>-295.44</v>
      </c>
      <c r="G59" s="27">
        <v>169.55</v>
      </c>
      <c r="H59" s="27">
        <v>-1.9</v>
      </c>
      <c r="I59" s="27">
        <v>-285.73</v>
      </c>
      <c r="J59" s="72">
        <v>1070.31</v>
      </c>
      <c r="K59" s="72">
        <v>-288.77999999999997</v>
      </c>
      <c r="L59" s="45"/>
      <c r="M59" s="57" t="s">
        <v>52</v>
      </c>
      <c r="N59" s="20">
        <v>50.54</v>
      </c>
      <c r="O59" s="20">
        <v>28.3</v>
      </c>
      <c r="P59" s="20">
        <v>69.209999999999994</v>
      </c>
      <c r="Q59" s="20">
        <v>43.31</v>
      </c>
      <c r="R59" s="20">
        <v>76.010000000000005</v>
      </c>
      <c r="S59" s="20">
        <v>74.83</v>
      </c>
      <c r="T59" s="20">
        <v>159.96</v>
      </c>
    </row>
    <row r="60" spans="2:20" x14ac:dyDescent="0.3">
      <c r="B60" s="62" t="s">
        <v>101</v>
      </c>
      <c r="C60" s="58"/>
      <c r="D60" s="63"/>
      <c r="E60" s="63">
        <f>SUM(E57:E59)</f>
        <v>0</v>
      </c>
      <c r="F60" s="64">
        <f t="shared" ref="F60:I60" si="42">SUM(F57:F59)</f>
        <v>-7.9999999999984084E-2</v>
      </c>
      <c r="G60" s="64">
        <f t="shared" si="42"/>
        <v>40.090000000000032</v>
      </c>
      <c r="H60" s="64">
        <f t="shared" si="42"/>
        <v>11.469999999999997</v>
      </c>
      <c r="I60" s="64">
        <f t="shared" si="42"/>
        <v>-23.009999999999991</v>
      </c>
      <c r="J60" s="73">
        <f>SUM(J57:J59)</f>
        <v>431.42999999999995</v>
      </c>
      <c r="K60" s="73">
        <f>SUM(K57:K59)</f>
        <v>-153.14999999999998</v>
      </c>
      <c r="L60" s="45"/>
      <c r="M60" s="46" t="s">
        <v>65</v>
      </c>
      <c r="N60" s="20">
        <v>17.940000000000001</v>
      </c>
      <c r="O60" s="20">
        <v>13.05</v>
      </c>
      <c r="P60" s="20">
        <v>20.63</v>
      </c>
      <c r="Q60" s="20">
        <v>38.93</v>
      </c>
      <c r="R60" s="20">
        <v>23.09</v>
      </c>
      <c r="S60" s="20">
        <v>169.81</v>
      </c>
      <c r="T60" s="20">
        <v>27.67</v>
      </c>
    </row>
    <row r="61" spans="2:20" x14ac:dyDescent="0.3">
      <c r="B61" s="65" t="s">
        <v>99</v>
      </c>
      <c r="C61" s="66"/>
      <c r="D61" s="67"/>
      <c r="E61" s="67">
        <f t="shared" ref="E61:I61" si="43">E56+E60</f>
        <v>0</v>
      </c>
      <c r="F61" s="19">
        <f t="shared" si="43"/>
        <v>6.9900000000000162</v>
      </c>
      <c r="G61" s="19">
        <f t="shared" si="43"/>
        <v>47.070000000000036</v>
      </c>
      <c r="H61" s="19">
        <f t="shared" si="43"/>
        <v>58.53</v>
      </c>
      <c r="I61" s="19">
        <f t="shared" si="43"/>
        <v>35.52000000000001</v>
      </c>
      <c r="J61" s="74">
        <f>J56+J60</f>
        <v>466.90999999999997</v>
      </c>
      <c r="K61" s="74">
        <f>K56+K60</f>
        <v>313.78000000000003</v>
      </c>
      <c r="L61" s="45"/>
      <c r="M61" s="46" t="s">
        <v>53</v>
      </c>
      <c r="N61" s="20">
        <v>6.14</v>
      </c>
      <c r="O61" s="20">
        <v>7.06</v>
      </c>
      <c r="P61" s="20">
        <v>32.04</v>
      </c>
      <c r="Q61" s="20">
        <v>21.13</v>
      </c>
      <c r="R61" s="20">
        <v>4.6399999999999997</v>
      </c>
      <c r="S61" s="20">
        <v>20.399999999999999</v>
      </c>
      <c r="T61" s="20">
        <v>6.69</v>
      </c>
    </row>
    <row r="62" spans="2:20" x14ac:dyDescent="0.3">
      <c r="F62" s="25"/>
      <c r="G62" s="25"/>
      <c r="H62" s="25"/>
      <c r="I62" s="25"/>
      <c r="J62" s="25"/>
      <c r="K62" s="25"/>
      <c r="L62" s="45"/>
      <c r="M62" s="46" t="s">
        <v>54</v>
      </c>
      <c r="N62" s="20">
        <v>2.13</v>
      </c>
      <c r="O62" s="20">
        <v>2.1800000000000002</v>
      </c>
      <c r="P62" s="20">
        <v>1.37</v>
      </c>
      <c r="Q62" s="20">
        <v>11.37</v>
      </c>
      <c r="R62" s="20">
        <v>12.63</v>
      </c>
      <c r="S62" s="20">
        <v>15.02</v>
      </c>
      <c r="T62" s="20">
        <v>18.920000000000002</v>
      </c>
    </row>
    <row r="63" spans="2:20" x14ac:dyDescent="0.3">
      <c r="B63" s="3" t="s">
        <v>104</v>
      </c>
      <c r="C63" s="61"/>
      <c r="D63" s="61"/>
      <c r="E63" s="61" t="s">
        <v>3</v>
      </c>
      <c r="F63" s="26" t="s">
        <v>4</v>
      </c>
      <c r="G63" s="26" t="s">
        <v>5</v>
      </c>
      <c r="H63" s="26" t="s">
        <v>6</v>
      </c>
      <c r="I63" s="26" t="s">
        <v>7</v>
      </c>
      <c r="J63" s="71" t="s">
        <v>135</v>
      </c>
      <c r="K63" s="71" t="s">
        <v>149</v>
      </c>
      <c r="L63" s="45"/>
      <c r="M63" s="46" t="s">
        <v>55</v>
      </c>
      <c r="N63" s="24">
        <v>3.26</v>
      </c>
      <c r="O63" s="24">
        <v>0</v>
      </c>
      <c r="P63" s="24">
        <v>25.77</v>
      </c>
      <c r="Q63" s="20">
        <v>8.69</v>
      </c>
      <c r="R63" s="24">
        <v>6.33</v>
      </c>
      <c r="S63" s="20">
        <v>5.51</v>
      </c>
      <c r="T63" s="20">
        <v>2.29</v>
      </c>
    </row>
    <row r="64" spans="2:20" x14ac:dyDescent="0.3">
      <c r="B64" s="46" t="s">
        <v>102</v>
      </c>
      <c r="C64" s="4"/>
      <c r="D64" s="13"/>
      <c r="E64" s="13">
        <f>E57</f>
        <v>0</v>
      </c>
      <c r="F64" s="27">
        <f t="shared" ref="F64:J64" si="44">F57</f>
        <v>408.67</v>
      </c>
      <c r="G64" s="27">
        <f t="shared" si="44"/>
        <v>-73.459999999999994</v>
      </c>
      <c r="H64" s="27">
        <f t="shared" si="44"/>
        <v>67.52</v>
      </c>
      <c r="I64" s="27">
        <f t="shared" si="44"/>
        <v>311.69</v>
      </c>
      <c r="J64" s="72">
        <f t="shared" si="44"/>
        <v>759.64</v>
      </c>
      <c r="K64" s="72">
        <f>K57</f>
        <v>-111.97</v>
      </c>
      <c r="L64" s="45"/>
      <c r="M64" s="2" t="s">
        <v>56</v>
      </c>
      <c r="N64" s="19">
        <f t="shared" ref="N64:Q64" si="45">SUM(N55:N63)</f>
        <v>764.54</v>
      </c>
      <c r="O64" s="19">
        <f t="shared" si="45"/>
        <v>520.18999999999994</v>
      </c>
      <c r="P64" s="19">
        <f t="shared" si="45"/>
        <v>841.46</v>
      </c>
      <c r="Q64" s="19">
        <f t="shared" si="45"/>
        <v>1016.6999999999999</v>
      </c>
      <c r="R64" s="19">
        <f>SUM(R55:R63)</f>
        <v>766.73</v>
      </c>
      <c r="S64" s="19">
        <f>SUM(S55:S63)</f>
        <v>394.52</v>
      </c>
      <c r="T64" s="19">
        <f>SUM(T55:T63)</f>
        <v>223.09</v>
      </c>
    </row>
    <row r="65" spans="2:23" x14ac:dyDescent="0.3">
      <c r="B65" s="68" t="s">
        <v>103</v>
      </c>
      <c r="C65" s="5"/>
      <c r="D65" s="13"/>
      <c r="E65" s="15"/>
      <c r="F65" s="27">
        <f>(3559217-308660)/1000000</f>
        <v>3.2505570000000001</v>
      </c>
      <c r="G65" s="27">
        <v>53.8</v>
      </c>
      <c r="H65" s="27">
        <v>89.72</v>
      </c>
      <c r="I65" s="27">
        <v>98.9</v>
      </c>
      <c r="J65" s="75">
        <v>94.54</v>
      </c>
      <c r="K65" s="75">
        <v>46.9</v>
      </c>
      <c r="L65" s="45"/>
      <c r="M65" s="46"/>
      <c r="N65" s="20"/>
      <c r="O65" s="20"/>
      <c r="P65" s="20"/>
      <c r="Q65" s="20"/>
      <c r="R65" s="20"/>
      <c r="S65" s="20"/>
      <c r="T65" s="20"/>
    </row>
    <row r="66" spans="2:23" x14ac:dyDescent="0.3">
      <c r="B66" s="2" t="s">
        <v>148</v>
      </c>
      <c r="C66" s="66"/>
      <c r="D66" s="67"/>
      <c r="E66" s="67">
        <f>E64-E65</f>
        <v>0</v>
      </c>
      <c r="F66" s="19">
        <f t="shared" ref="F66:G66" si="46">F64-F65</f>
        <v>405.419443</v>
      </c>
      <c r="G66" s="19">
        <f t="shared" si="46"/>
        <v>-127.25999999999999</v>
      </c>
      <c r="H66" s="19">
        <f>H64-H65</f>
        <v>-22.200000000000003</v>
      </c>
      <c r="I66" s="19">
        <f>I64-I65</f>
        <v>212.79</v>
      </c>
      <c r="J66" s="74">
        <f>J64-J65</f>
        <v>665.1</v>
      </c>
      <c r="K66" s="74">
        <f>K64-K65</f>
        <v>-158.87</v>
      </c>
      <c r="L66" s="45"/>
      <c r="M66" s="2" t="s">
        <v>57</v>
      </c>
      <c r="N66" s="19">
        <f t="shared" ref="N66:R66" si="47">N43-N64</f>
        <v>636.99999999999977</v>
      </c>
      <c r="O66" s="19">
        <f>O43-O64</f>
        <v>668.39000000000021</v>
      </c>
      <c r="P66" s="19">
        <f t="shared" si="47"/>
        <v>924.85000000000014</v>
      </c>
      <c r="Q66" s="19">
        <f t="shared" si="47"/>
        <v>1228.5699999999997</v>
      </c>
      <c r="R66" s="19">
        <f t="shared" si="47"/>
        <v>1796.6200000000003</v>
      </c>
      <c r="S66" s="19">
        <f>S43-S64</f>
        <v>3544.36</v>
      </c>
      <c r="T66" s="19">
        <f>T43-T64</f>
        <v>4217.2999999999993</v>
      </c>
    </row>
    <row r="67" spans="2:23" x14ac:dyDescent="0.3">
      <c r="F67" s="25"/>
      <c r="G67" s="25"/>
      <c r="H67" s="25"/>
      <c r="I67" s="25"/>
      <c r="J67" s="25"/>
      <c r="K67" s="25"/>
      <c r="L67" s="45"/>
      <c r="M67" s="46"/>
      <c r="N67" s="20"/>
      <c r="O67" s="20"/>
      <c r="P67" s="20"/>
      <c r="Q67" s="20"/>
      <c r="R67" s="20"/>
      <c r="S67" s="20"/>
      <c r="T67" s="20"/>
    </row>
    <row r="68" spans="2:23" x14ac:dyDescent="0.3">
      <c r="B68" s="3" t="s">
        <v>123</v>
      </c>
      <c r="C68" s="47"/>
      <c r="D68" s="47"/>
      <c r="E68" s="61" t="s">
        <v>3</v>
      </c>
      <c r="F68" s="26" t="s">
        <v>4</v>
      </c>
      <c r="G68" s="26" t="s">
        <v>5</v>
      </c>
      <c r="H68" s="26" t="s">
        <v>6</v>
      </c>
      <c r="I68" s="26" t="s">
        <v>7</v>
      </c>
      <c r="J68" s="71" t="s">
        <v>135</v>
      </c>
      <c r="K68" s="71" t="s">
        <v>149</v>
      </c>
      <c r="L68" s="45"/>
      <c r="M68" s="2" t="s">
        <v>58</v>
      </c>
      <c r="N68" s="19">
        <f t="shared" ref="N68:S68" si="48">N43+N31</f>
        <v>1606.4699999999998</v>
      </c>
      <c r="O68" s="19">
        <f>O43+O31-0.1</f>
        <v>1494.1500000000003</v>
      </c>
      <c r="P68" s="19">
        <f t="shared" si="48"/>
        <v>2099.3500000000004</v>
      </c>
      <c r="Q68" s="19">
        <f t="shared" si="48"/>
        <v>2646.9699999999993</v>
      </c>
      <c r="R68" s="19">
        <f t="shared" si="48"/>
        <v>2977.9000000000005</v>
      </c>
      <c r="S68" s="19">
        <f t="shared" si="48"/>
        <v>4489.83</v>
      </c>
      <c r="T68" s="19">
        <f t="shared" ref="T68" si="49">T43+T31</f>
        <v>4979.2899999999991</v>
      </c>
    </row>
    <row r="69" spans="2:23" x14ac:dyDescent="0.3">
      <c r="B69" s="46" t="s">
        <v>126</v>
      </c>
      <c r="C69" s="46"/>
      <c r="D69" s="46"/>
      <c r="E69" s="54">
        <f>1220000/1000000</f>
        <v>1.22</v>
      </c>
      <c r="F69" s="20">
        <f>1220000/1000000</f>
        <v>1.22</v>
      </c>
      <c r="G69" s="20">
        <f>1220000/1000000</f>
        <v>1.22</v>
      </c>
      <c r="H69" s="20">
        <f>1220000/1000000</f>
        <v>1.22</v>
      </c>
      <c r="I69" s="20">
        <f>31720000/1000000</f>
        <v>31.72</v>
      </c>
      <c r="J69" s="75">
        <f>39186063/1000000</f>
        <v>39.186062999999997</v>
      </c>
      <c r="K69" s="75">
        <f>39186063/1000000</f>
        <v>39.186062999999997</v>
      </c>
      <c r="L69" s="45"/>
      <c r="M69" s="2" t="s">
        <v>59</v>
      </c>
      <c r="N69" s="19">
        <f t="shared" ref="N69:Q69" si="50">N52+N64</f>
        <v>840.82999999999993</v>
      </c>
      <c r="O69" s="19">
        <f t="shared" si="50"/>
        <v>580.76</v>
      </c>
      <c r="P69" s="19">
        <f t="shared" si="50"/>
        <v>901.22</v>
      </c>
      <c r="Q69" s="19">
        <f t="shared" si="50"/>
        <v>1075.03</v>
      </c>
      <c r="R69" s="19">
        <f>R52+R64</f>
        <v>842.62</v>
      </c>
      <c r="S69" s="19">
        <f>S52+S64</f>
        <v>434.74</v>
      </c>
      <c r="T69" s="19">
        <f>T52+T64</f>
        <v>233.18</v>
      </c>
    </row>
    <row r="70" spans="2:23" x14ac:dyDescent="0.3">
      <c r="B70" s="46" t="s">
        <v>125</v>
      </c>
      <c r="C70" s="46"/>
      <c r="D70" s="46"/>
      <c r="E70" s="13">
        <v>10</v>
      </c>
      <c r="F70" s="27">
        <v>10</v>
      </c>
      <c r="G70" s="27">
        <v>10</v>
      </c>
      <c r="H70" s="27">
        <v>10</v>
      </c>
      <c r="I70" s="27">
        <v>10</v>
      </c>
      <c r="J70" s="75">
        <v>10</v>
      </c>
      <c r="K70" s="75">
        <v>10</v>
      </c>
      <c r="L70" s="45"/>
      <c r="M70" s="2" t="s">
        <v>60</v>
      </c>
      <c r="N70" s="19">
        <f>N69+N7</f>
        <v>1606.5</v>
      </c>
      <c r="O70" s="19">
        <f t="shared" ref="O70:S70" si="51">O69+O7</f>
        <v>1494.22</v>
      </c>
      <c r="P70" s="19">
        <f t="shared" si="51"/>
        <v>2099.38</v>
      </c>
      <c r="Q70" s="19">
        <f t="shared" si="51"/>
        <v>2646.9700000000003</v>
      </c>
      <c r="R70" s="19">
        <f t="shared" si="51"/>
        <v>2977.8999999999996</v>
      </c>
      <c r="S70" s="19">
        <f t="shared" si="51"/>
        <v>4489.82</v>
      </c>
      <c r="T70" s="19">
        <f t="shared" ref="T70" si="52">T69+T7</f>
        <v>4979.3099999999995</v>
      </c>
    </row>
    <row r="71" spans="2:23" x14ac:dyDescent="0.3">
      <c r="B71" s="68" t="s">
        <v>124</v>
      </c>
      <c r="C71" s="68"/>
      <c r="D71" s="68"/>
      <c r="E71" s="32" t="str">
        <f>IFERROR(N73*E69,"NA")</f>
        <v>NA</v>
      </c>
      <c r="F71" s="28" t="str">
        <f>IFERROR(O73*F69,"N.A.")</f>
        <v>N.A.</v>
      </c>
      <c r="G71" s="28" t="str">
        <f>IFERROR(P73*G69,"N.A.")</f>
        <v>N.A.</v>
      </c>
      <c r="H71" s="28" t="str">
        <f>IFERROR(Q73*H69,"N.A.")</f>
        <v>N.A.</v>
      </c>
      <c r="I71" s="28" t="str">
        <f>IFERROR(R73*I69,"N.A.")</f>
        <v>N.A.</v>
      </c>
      <c r="J71" s="72">
        <f>S73*J69</f>
        <v>6745.8807454500002</v>
      </c>
      <c r="K71" s="72">
        <f>T73*K69</f>
        <v>11787.1677504</v>
      </c>
      <c r="L71" s="45"/>
      <c r="N71" s="25"/>
      <c r="O71" s="25"/>
      <c r="P71" s="25"/>
      <c r="Q71" s="25"/>
      <c r="R71" s="25"/>
      <c r="S71" s="25"/>
      <c r="T71" s="25"/>
    </row>
    <row r="72" spans="2:23" x14ac:dyDescent="0.3">
      <c r="B72" s="68" t="s">
        <v>106</v>
      </c>
      <c r="C72" s="68"/>
      <c r="D72" s="68"/>
      <c r="E72" s="13">
        <f t="shared" ref="E72:K72" si="53">N12</f>
        <v>756.54</v>
      </c>
      <c r="F72" s="27">
        <f t="shared" si="53"/>
        <v>524.25</v>
      </c>
      <c r="G72" s="27">
        <f t="shared" si="53"/>
        <v>744.5</v>
      </c>
      <c r="H72" s="27">
        <f t="shared" si="53"/>
        <v>939.41000000000008</v>
      </c>
      <c r="I72" s="27">
        <f t="shared" si="53"/>
        <v>703.51</v>
      </c>
      <c r="J72" s="72">
        <f t="shared" si="53"/>
        <v>137.76</v>
      </c>
      <c r="K72" s="72">
        <f t="shared" si="53"/>
        <v>2</v>
      </c>
      <c r="L72" s="45"/>
      <c r="M72" s="3" t="s">
        <v>132</v>
      </c>
      <c r="N72" s="26" t="s">
        <v>3</v>
      </c>
      <c r="O72" s="26" t="s">
        <v>4</v>
      </c>
      <c r="P72" s="26" t="s">
        <v>5</v>
      </c>
      <c r="Q72" s="26" t="s">
        <v>6</v>
      </c>
      <c r="R72" s="26" t="s">
        <v>7</v>
      </c>
      <c r="S72" s="26" t="s">
        <v>135</v>
      </c>
      <c r="T72" s="26" t="s">
        <v>149</v>
      </c>
      <c r="U72" s="6"/>
    </row>
    <row r="73" spans="2:23" x14ac:dyDescent="0.3">
      <c r="B73" s="68" t="s">
        <v>107</v>
      </c>
      <c r="C73" s="68"/>
      <c r="D73" s="68"/>
      <c r="E73" s="13">
        <f>N37+N38</f>
        <v>7.1000000000000005</v>
      </c>
      <c r="F73" s="27">
        <f t="shared" ref="F73:I73" si="54">O37+O38</f>
        <v>7.0200000000000005</v>
      </c>
      <c r="G73" s="27">
        <f t="shared" si="54"/>
        <v>51.52</v>
      </c>
      <c r="H73" s="27">
        <f t="shared" si="54"/>
        <v>80.61</v>
      </c>
      <c r="I73" s="27">
        <f t="shared" si="54"/>
        <v>48.569999999999993</v>
      </c>
      <c r="J73" s="72">
        <f>S37+S38</f>
        <v>1466.97</v>
      </c>
      <c r="K73" s="72">
        <f>T37+T38</f>
        <v>1053.31</v>
      </c>
      <c r="L73" s="45"/>
      <c r="M73" s="46" t="s">
        <v>130</v>
      </c>
      <c r="N73" s="24" t="s">
        <v>141</v>
      </c>
      <c r="O73" s="24" t="s">
        <v>141</v>
      </c>
      <c r="P73" s="24" t="s">
        <v>141</v>
      </c>
      <c r="Q73" s="24" t="s">
        <v>141</v>
      </c>
      <c r="R73" s="24" t="s">
        <v>141</v>
      </c>
      <c r="S73" s="29">
        <v>172.15</v>
      </c>
      <c r="T73" s="29">
        <v>300.8</v>
      </c>
      <c r="U73" s="8"/>
      <c r="V73" s="8"/>
      <c r="W73" s="8"/>
    </row>
    <row r="74" spans="2:23" x14ac:dyDescent="0.3">
      <c r="B74" s="2" t="s">
        <v>108</v>
      </c>
      <c r="C74" s="69"/>
      <c r="D74" s="69"/>
      <c r="E74" s="70" t="s">
        <v>133</v>
      </c>
      <c r="F74" s="38" t="s">
        <v>141</v>
      </c>
      <c r="G74" s="38" t="s">
        <v>141</v>
      </c>
      <c r="H74" s="38" t="s">
        <v>141</v>
      </c>
      <c r="I74" s="38" t="s">
        <v>141</v>
      </c>
      <c r="J74" s="74">
        <f>SUM(J71:J72)-J73</f>
        <v>5416.6707454500001</v>
      </c>
      <c r="K74" s="74">
        <f>SUM(K71:K72)-K73</f>
        <v>10735.8577504</v>
      </c>
      <c r="L74" s="45"/>
      <c r="M74" s="69" t="s">
        <v>129</v>
      </c>
      <c r="N74" s="22">
        <f t="shared" ref="N74:T74" si="55">E51</f>
        <v>0</v>
      </c>
      <c r="O74" s="22">
        <f t="shared" si="55"/>
        <v>0</v>
      </c>
      <c r="P74" s="22">
        <f t="shared" si="55"/>
        <v>7.39</v>
      </c>
      <c r="Q74" s="22">
        <f t="shared" si="55"/>
        <v>12.61</v>
      </c>
      <c r="R74" s="22">
        <f t="shared" si="55"/>
        <v>17.32</v>
      </c>
      <c r="S74" s="22">
        <f t="shared" si="55"/>
        <v>9.6</v>
      </c>
      <c r="T74" s="22">
        <f t="shared" si="55"/>
        <v>16.34</v>
      </c>
      <c r="U74" s="7"/>
      <c r="V74" s="7"/>
      <c r="W74" s="8"/>
    </row>
    <row r="75" spans="2:23" x14ac:dyDescent="0.3">
      <c r="L75" s="45"/>
      <c r="M75" s="69" t="s">
        <v>127</v>
      </c>
      <c r="N75" s="35">
        <f>IFERROR(N8/E69,"NA")</f>
        <v>593.54918032786884</v>
      </c>
      <c r="O75" s="22">
        <f>O8/F69</f>
        <v>705.72131147540983</v>
      </c>
      <c r="P75" s="22">
        <f>P8/G69</f>
        <v>895.54098360655735</v>
      </c>
      <c r="Q75" s="22">
        <f>Q8/H69</f>
        <v>1176.672131147541</v>
      </c>
      <c r="R75" s="22">
        <f>R8/I69</f>
        <v>65.465006305170235</v>
      </c>
      <c r="S75" s="22">
        <f>S8/J69</f>
        <v>101.66726879400976</v>
      </c>
      <c r="T75" s="22">
        <f>T8/K69</f>
        <v>118.60109549663103</v>
      </c>
      <c r="U75" s="7"/>
      <c r="V75" s="7"/>
      <c r="W75" s="9"/>
    </row>
    <row r="76" spans="2:23" x14ac:dyDescent="0.3">
      <c r="L76" s="45"/>
      <c r="M76" s="69" t="s">
        <v>128</v>
      </c>
      <c r="N76" s="35" t="s">
        <v>141</v>
      </c>
      <c r="O76" s="35" t="s">
        <v>141</v>
      </c>
      <c r="P76" s="35" t="s">
        <v>141</v>
      </c>
      <c r="Q76" s="35" t="s">
        <v>141</v>
      </c>
      <c r="R76" s="35" t="s">
        <v>141</v>
      </c>
      <c r="S76" s="35" t="s">
        <v>141</v>
      </c>
      <c r="T76" s="35" t="s">
        <v>141</v>
      </c>
      <c r="U76" s="7"/>
      <c r="V76" s="7"/>
      <c r="W76" s="7"/>
    </row>
    <row r="77" spans="2:23" x14ac:dyDescent="0.3">
      <c r="L77" s="45"/>
      <c r="M77" s="69" t="s">
        <v>109</v>
      </c>
      <c r="N77" s="35" t="str">
        <f>IFERROR(N73/N74, "N.A.")</f>
        <v>N.A.</v>
      </c>
      <c r="O77" s="35" t="str">
        <f t="shared" ref="O77:S77" si="56">IFERROR(O73/O74, "N.A.")</f>
        <v>N.A.</v>
      </c>
      <c r="P77" s="35" t="str">
        <f t="shared" si="56"/>
        <v>N.A.</v>
      </c>
      <c r="Q77" s="35" t="str">
        <f t="shared" si="56"/>
        <v>N.A.</v>
      </c>
      <c r="R77" s="35" t="str">
        <f t="shared" si="56"/>
        <v>N.A.</v>
      </c>
      <c r="S77" s="35">
        <f t="shared" si="56"/>
        <v>17.932291666666668</v>
      </c>
      <c r="T77" s="35">
        <f>IFERROR(T73/T74, "N.A.")</f>
        <v>18.408812729498166</v>
      </c>
      <c r="U77" s="7"/>
      <c r="V77" s="7"/>
      <c r="W77" s="8"/>
    </row>
    <row r="78" spans="2:23" x14ac:dyDescent="0.3">
      <c r="L78" s="45"/>
      <c r="M78" s="69" t="s">
        <v>110</v>
      </c>
      <c r="N78" s="35" t="str">
        <f>IFERROR(N73/N75,"N.A.")</f>
        <v>N.A.</v>
      </c>
      <c r="O78" s="35" t="str">
        <f t="shared" ref="O78:S78" si="57">IFERROR(O73/O75,"N.A.")</f>
        <v>N.A.</v>
      </c>
      <c r="P78" s="35" t="str">
        <f t="shared" si="57"/>
        <v>N.A.</v>
      </c>
      <c r="Q78" s="35" t="str">
        <f t="shared" si="57"/>
        <v>N.A.</v>
      </c>
      <c r="R78" s="35" t="str">
        <f t="shared" si="57"/>
        <v>N.A.</v>
      </c>
      <c r="S78" s="35">
        <f t="shared" si="57"/>
        <v>1.6932686600325304</v>
      </c>
      <c r="T78" s="35">
        <f>IFERROR(T73/T75,"N.A.")</f>
        <v>2.5362328968415349</v>
      </c>
      <c r="U78" s="7"/>
      <c r="V78" s="7"/>
      <c r="W78" s="8"/>
    </row>
    <row r="79" spans="2:23" x14ac:dyDescent="0.3">
      <c r="L79" s="45"/>
      <c r="M79" s="69" t="s">
        <v>111</v>
      </c>
      <c r="N79" s="35" t="str">
        <f t="shared" ref="N79:T79" si="58">IFERROR(E74/E14,"N.A.")</f>
        <v>N.A.</v>
      </c>
      <c r="O79" s="35" t="str">
        <f t="shared" si="58"/>
        <v>N.A.</v>
      </c>
      <c r="P79" s="35" t="str">
        <f t="shared" si="58"/>
        <v>N.A.</v>
      </c>
      <c r="Q79" s="35" t="str">
        <f t="shared" si="58"/>
        <v>N.A.</v>
      </c>
      <c r="R79" s="35" t="str">
        <f t="shared" si="58"/>
        <v>N.A.</v>
      </c>
      <c r="S79" s="35">
        <f t="shared" si="58"/>
        <v>10.20799944490512</v>
      </c>
      <c r="T79" s="35">
        <f>IFERROR(K74/K14,"N.A.")</f>
        <v>11.168410280566329</v>
      </c>
      <c r="U79" s="7"/>
      <c r="V79" s="7"/>
      <c r="W79" s="8"/>
    </row>
    <row r="80" spans="2:23" x14ac:dyDescent="0.3">
      <c r="L80" s="45"/>
      <c r="M80" s="69" t="s">
        <v>131</v>
      </c>
      <c r="N80" s="22">
        <f t="shared" ref="N80:T80" si="59">IFERROR(E5/AVERAGE(N70),"N.A.")</f>
        <v>0</v>
      </c>
      <c r="O80" s="22">
        <f t="shared" si="59"/>
        <v>2.6729062654763021</v>
      </c>
      <c r="P80" s="22">
        <f t="shared" si="59"/>
        <v>2.073459783364612</v>
      </c>
      <c r="Q80" s="22">
        <f t="shared" si="59"/>
        <v>2.3152132438221815</v>
      </c>
      <c r="R80" s="22">
        <f t="shared" si="59"/>
        <v>2.6346620101413754</v>
      </c>
      <c r="S80" s="22">
        <f>IFERROR(J5/AVERAGE(S70),"N.A.")</f>
        <v>1.4871108418600301</v>
      </c>
      <c r="T80" s="22">
        <f>IFERROR(K5/AVERAGE(T70),"N.A.")</f>
        <v>1.7029347439705504</v>
      </c>
      <c r="U80" s="10"/>
      <c r="V80" s="10"/>
      <c r="W80" s="8"/>
    </row>
    <row r="81" spans="12:23" x14ac:dyDescent="0.3">
      <c r="L81" s="45"/>
      <c r="M81" s="69" t="s">
        <v>112</v>
      </c>
      <c r="N81" s="22">
        <f>E35/N8</f>
        <v>0</v>
      </c>
      <c r="O81" s="40">
        <f t="shared" ref="O81:T81" si="60">F35/AVERAGE(N8:O8)</f>
        <v>0.18637192371507269</v>
      </c>
      <c r="P81" s="40">
        <f t="shared" si="60"/>
        <v>0.29483911258535767</v>
      </c>
      <c r="Q81" s="40">
        <f t="shared" si="60"/>
        <v>0.34117321308492582</v>
      </c>
      <c r="R81" s="40">
        <f t="shared" si="60"/>
        <v>0.3234142633019087</v>
      </c>
      <c r="S81" s="40">
        <f t="shared" si="60"/>
        <v>0.10596172916711345</v>
      </c>
      <c r="T81" s="40">
        <f>K35/AVERAGE(S8:T8)</f>
        <v>0.15468779868967569</v>
      </c>
      <c r="U81" s="10"/>
      <c r="V81" s="10"/>
      <c r="W81" s="8"/>
    </row>
    <row r="82" spans="12:23" x14ac:dyDescent="0.3">
      <c r="L82" s="45"/>
      <c r="M82" s="69" t="s">
        <v>113</v>
      </c>
      <c r="N82" s="39">
        <f t="shared" ref="N82:T82" si="61">(E14-E19)/AVERAGE(M14:N14)</f>
        <v>0</v>
      </c>
      <c r="O82" s="40">
        <f t="shared" si="61"/>
        <v>0.28740727687249717</v>
      </c>
      <c r="P82" s="40">
        <f t="shared" si="61"/>
        <v>0.41461567757689771</v>
      </c>
      <c r="Q82" s="40">
        <f t="shared" si="61"/>
        <v>0.44109744612486884</v>
      </c>
      <c r="R82" s="40">
        <f t="shared" si="61"/>
        <v>0.42524157607563839</v>
      </c>
      <c r="S82" s="40">
        <f t="shared" si="61"/>
        <v>0.15392738897134364</v>
      </c>
      <c r="T82" s="40">
        <f>(K14-K19)/AVERAGE(S14:T14)</f>
        <v>0.20504072186553496</v>
      </c>
      <c r="U82" s="7"/>
      <c r="V82" s="7"/>
      <c r="W82" s="8"/>
    </row>
    <row r="83" spans="12:23" x14ac:dyDescent="0.3">
      <c r="L83" s="45"/>
      <c r="M83" s="69" t="s">
        <v>114</v>
      </c>
      <c r="N83" s="22">
        <f>N12/N8</f>
        <v>1.044757156864099</v>
      </c>
      <c r="O83" s="22">
        <f>O12/O8</f>
        <v>0.60889916142070666</v>
      </c>
      <c r="P83" s="22">
        <f t="shared" ref="P83:S83" si="62">P12/P8</f>
        <v>0.68142710697810649</v>
      </c>
      <c r="Q83" s="22">
        <f t="shared" si="62"/>
        <v>0.65439486186382834</v>
      </c>
      <c r="R83" s="22">
        <f t="shared" si="62"/>
        <v>0.33878789338084808</v>
      </c>
      <c r="S83" s="22">
        <f t="shared" si="62"/>
        <v>3.4578834018584616E-2</v>
      </c>
      <c r="T83" s="22">
        <f>T12/T8</f>
        <v>4.3033796592153653E-4</v>
      </c>
      <c r="U83" s="7"/>
      <c r="V83" s="7"/>
      <c r="W83" s="8"/>
    </row>
    <row r="84" spans="12:23" x14ac:dyDescent="0.3">
      <c r="L84" s="45"/>
      <c r="M84" s="69" t="s">
        <v>115</v>
      </c>
      <c r="N84" s="22">
        <f t="shared" ref="N84:T84" si="63">(N12 -E73)/N8</f>
        <v>1.0349522875726733</v>
      </c>
      <c r="O84" s="22">
        <f t="shared" si="63"/>
        <v>0.60074566192013756</v>
      </c>
      <c r="P84" s="22">
        <f t="shared" si="63"/>
        <v>0.63427180200629718</v>
      </c>
      <c r="Q84" s="22">
        <f t="shared" si="63"/>
        <v>0.5982417766136785</v>
      </c>
      <c r="R84" s="22">
        <f t="shared" si="63"/>
        <v>0.31539813633189673</v>
      </c>
      <c r="S84" s="22">
        <f t="shared" si="63"/>
        <v>-0.33364207292278497</v>
      </c>
      <c r="T84" s="22">
        <f>(T12 -K73)/T8</f>
        <v>-0.22620930347648527</v>
      </c>
      <c r="U84" s="11"/>
      <c r="V84" s="11"/>
      <c r="W84" s="8"/>
    </row>
    <row r="85" spans="12:23" x14ac:dyDescent="0.3">
      <c r="L85" s="45"/>
      <c r="M85" s="69" t="s">
        <v>116</v>
      </c>
      <c r="N85" s="35" t="str">
        <f>IFERROR(N76/N73, "N.A.")</f>
        <v>N.A.</v>
      </c>
      <c r="O85" s="35" t="str">
        <f t="shared" ref="O85:S85" si="64">IFERROR(O76/O73, "N.A.")</f>
        <v>N.A.</v>
      </c>
      <c r="P85" s="35" t="str">
        <f t="shared" si="64"/>
        <v>N.A.</v>
      </c>
      <c r="Q85" s="35" t="str">
        <f t="shared" si="64"/>
        <v>N.A.</v>
      </c>
      <c r="R85" s="35" t="str">
        <f t="shared" si="64"/>
        <v>N.A.</v>
      </c>
      <c r="S85" s="35" t="str">
        <f t="shared" si="64"/>
        <v>N.A.</v>
      </c>
      <c r="T85" s="35" t="str">
        <f t="shared" ref="T85" si="65">IFERROR(T76/T73, "N.A.")</f>
        <v>N.A.</v>
      </c>
      <c r="U85" s="11"/>
      <c r="V85" s="11"/>
      <c r="W85" s="8"/>
    </row>
    <row r="86" spans="12:23" x14ac:dyDescent="0.3">
      <c r="L86" s="45"/>
      <c r="M86" s="69" t="s">
        <v>122</v>
      </c>
      <c r="N86" s="35" t="s">
        <v>141</v>
      </c>
      <c r="O86" s="22">
        <f t="shared" ref="O86:T86" si="66">(F21+F20)/F20</f>
        <v>4.2320791436912018</v>
      </c>
      <c r="P86" s="22">
        <f t="shared" si="66"/>
        <v>9.1258382642997979</v>
      </c>
      <c r="Q86" s="22">
        <f t="shared" si="66"/>
        <v>10.190049592065277</v>
      </c>
      <c r="R86" s="22">
        <f t="shared" si="66"/>
        <v>16.391129841460973</v>
      </c>
      <c r="S86" s="22">
        <f t="shared" si="66"/>
        <v>13.363711453744484</v>
      </c>
      <c r="T86" s="22">
        <f>(K21+K20)/K20</f>
        <v>107.13813459268012</v>
      </c>
      <c r="U86" s="7"/>
      <c r="V86" s="7"/>
      <c r="W86" s="8"/>
    </row>
    <row r="87" spans="12:23" x14ac:dyDescent="0.3">
      <c r="L87" s="45"/>
      <c r="M87" s="69" t="s">
        <v>117</v>
      </c>
      <c r="N87" s="35" t="s">
        <v>141</v>
      </c>
      <c r="O87" s="22">
        <f t="shared" ref="O87:T87" si="67">AVERAGE(N36:O36)/F5*365</f>
        <v>45.137553174708493</v>
      </c>
      <c r="P87" s="22">
        <f t="shared" si="67"/>
        <v>58.590609191863969</v>
      </c>
      <c r="Q87" s="22">
        <f t="shared" si="67"/>
        <v>54.963521694434021</v>
      </c>
      <c r="R87" s="22">
        <f t="shared" si="67"/>
        <v>48.936431907170245</v>
      </c>
      <c r="S87" s="22">
        <f t="shared" si="67"/>
        <v>63.49422108595958</v>
      </c>
      <c r="T87" s="22">
        <f>AVERAGE(S36:T36)/K5*365</f>
        <v>55.644653420508902</v>
      </c>
      <c r="U87" s="7"/>
      <c r="V87" s="7"/>
      <c r="W87" s="8"/>
    </row>
    <row r="88" spans="12:23" x14ac:dyDescent="0.3">
      <c r="L88" s="45"/>
      <c r="M88" s="69" t="s">
        <v>118</v>
      </c>
      <c r="N88" s="35" t="s">
        <v>141</v>
      </c>
      <c r="O88" s="22">
        <f t="shared" ref="O88:T88" si="68">AVERAGE(N58+N59,O58+O59)/(F8+F9+F10)*365</f>
        <v>4.4550778208401765</v>
      </c>
      <c r="P88" s="22">
        <f t="shared" si="68"/>
        <v>5.376951552503173</v>
      </c>
      <c r="Q88" s="22">
        <f t="shared" si="68"/>
        <v>4.6029218690442821</v>
      </c>
      <c r="R88" s="22">
        <f t="shared" si="68"/>
        <v>3.937444997839342</v>
      </c>
      <c r="S88" s="22">
        <f t="shared" si="68"/>
        <v>5.5048969128435035</v>
      </c>
      <c r="T88" s="22">
        <f>AVERAGE(S58+S59,T58+T59)/(K8+K9+K10)*365</f>
        <v>6.7199481184786363</v>
      </c>
      <c r="U88" s="7"/>
      <c r="V88" s="7"/>
      <c r="W88" s="8"/>
    </row>
    <row r="89" spans="12:23" x14ac:dyDescent="0.3">
      <c r="L89" s="45"/>
      <c r="M89" s="69" t="s">
        <v>119</v>
      </c>
      <c r="N89" s="35" t="s">
        <v>141</v>
      </c>
      <c r="O89" s="22">
        <f t="shared" ref="O89:T89" si="69">AVERAGE(N33:O33)/(F8+F9+F10)*365</f>
        <v>63.247841085054922</v>
      </c>
      <c r="P89" s="22">
        <f t="shared" si="69"/>
        <v>49.245932146571647</v>
      </c>
      <c r="Q89" s="22">
        <f t="shared" si="69"/>
        <v>50.389590942367299</v>
      </c>
      <c r="R89" s="22">
        <f t="shared" si="69"/>
        <v>55.294334501455687</v>
      </c>
      <c r="S89" s="22">
        <f t="shared" si="69"/>
        <v>52.960435345831392</v>
      </c>
      <c r="T89" s="22">
        <f>AVERAGE(S33:T33)/(K8+K9+K10)*365</f>
        <v>45.256190982172406</v>
      </c>
      <c r="U89" s="7"/>
      <c r="V89" s="7"/>
      <c r="W89" s="8"/>
    </row>
    <row r="90" spans="12:23" x14ac:dyDescent="0.3">
      <c r="L90" s="45"/>
      <c r="M90" s="69" t="s">
        <v>120</v>
      </c>
      <c r="N90" s="35" t="s">
        <v>141</v>
      </c>
      <c r="O90" s="22">
        <f>O89+O87-O88</f>
        <v>103.93031643892324</v>
      </c>
      <c r="P90" s="22">
        <f t="shared" ref="P90:S90" si="70">P89+P87-P88</f>
        <v>102.45958978593244</v>
      </c>
      <c r="Q90" s="22">
        <f t="shared" si="70"/>
        <v>100.75019076775703</v>
      </c>
      <c r="R90" s="22">
        <f t="shared" si="70"/>
        <v>100.29332141078659</v>
      </c>
      <c r="S90" s="22">
        <f t="shared" si="70"/>
        <v>110.94975951894746</v>
      </c>
      <c r="T90" s="22">
        <f>T89+T87-T88</f>
        <v>94.180896284202674</v>
      </c>
      <c r="U90" s="7"/>
      <c r="V90" s="7"/>
      <c r="W90" s="8"/>
    </row>
    <row r="91" spans="12:23" x14ac:dyDescent="0.3">
      <c r="L91" s="45"/>
      <c r="M91" s="69" t="s">
        <v>121</v>
      </c>
      <c r="N91" s="35" t="str">
        <f>IFERROR((N43-N64)*365/E5,"N.A.")</f>
        <v>N.A.</v>
      </c>
      <c r="O91" s="22">
        <f t="shared" ref="O91:T91" si="71">IFERROR((O43-O64)*365/F5,"NA")</f>
        <v>61.083587261605814</v>
      </c>
      <c r="P91" s="22">
        <f t="shared" si="71"/>
        <v>77.549230641996999</v>
      </c>
      <c r="Q91" s="22">
        <f t="shared" si="71"/>
        <v>73.173318864938054</v>
      </c>
      <c r="R91" s="22">
        <f t="shared" si="71"/>
        <v>83.582253344481629</v>
      </c>
      <c r="S91" s="22">
        <f t="shared" si="71"/>
        <v>193.75745485153203</v>
      </c>
      <c r="T91" s="22">
        <f>IFERROR((T43-T64)*365/K5,"NA")</f>
        <v>181.53492447614462</v>
      </c>
      <c r="U91" s="12"/>
      <c r="V91" s="12"/>
    </row>
    <row r="92" spans="12:23" x14ac:dyDescent="0.3">
      <c r="U92" s="7"/>
      <c r="V92" s="7"/>
      <c r="W92" s="7"/>
    </row>
    <row r="93" spans="12:23" x14ac:dyDescent="0.3">
      <c r="N93" s="7"/>
      <c r="O93" s="7"/>
      <c r="P93" s="7"/>
      <c r="Q93" s="7"/>
      <c r="R93" s="7"/>
      <c r="S93" s="7"/>
      <c r="T93" s="7"/>
    </row>
  </sheetData>
  <mergeCells count="3">
    <mergeCell ref="M3:R3"/>
    <mergeCell ref="B3:J3"/>
    <mergeCell ref="B2:S2"/>
  </mergeCells>
  <pageMargins left="0.7" right="0.7" top="0.75" bottom="0.75" header="0.3" footer="0.3"/>
  <pageSetup scale="63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V16</dc:creator>
  <cp:lastModifiedBy>Lenovo</cp:lastModifiedBy>
  <cp:lastPrinted>2023-11-24T05:57:13Z</cp:lastPrinted>
  <dcterms:created xsi:type="dcterms:W3CDTF">2023-11-23T05:15:14Z</dcterms:created>
  <dcterms:modified xsi:type="dcterms:W3CDTF">2025-06-05T11:59:09Z</dcterms:modified>
</cp:coreProperties>
</file>