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Q4 - Summary sheet &amp; Fact sheet\"/>
    </mc:Choice>
  </mc:AlternateContent>
  <bookViews>
    <workbookView xWindow="0" yWindow="0" windowWidth="10128" windowHeight="3300" tabRatio="599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7" i="1" l="1"/>
  <c r="L86" i="1"/>
  <c r="L88" i="1"/>
  <c r="L87" i="1"/>
  <c r="L85" i="1"/>
  <c r="L84" i="1"/>
  <c r="L83" i="1"/>
  <c r="L82" i="1"/>
  <c r="L81" i="1"/>
  <c r="L80" i="1"/>
  <c r="L79" i="1"/>
  <c r="L78" i="1"/>
  <c r="L77" i="1"/>
  <c r="L75" i="1"/>
  <c r="K75" i="1"/>
  <c r="L74" i="1"/>
  <c r="L66" i="1"/>
  <c r="K66" i="1"/>
  <c r="L30" i="1"/>
  <c r="C62" i="1"/>
  <c r="D62" i="1"/>
  <c r="E62" i="1"/>
  <c r="F62" i="1"/>
  <c r="F61" i="1"/>
  <c r="L14" i="1"/>
  <c r="L12" i="1"/>
  <c r="K14" i="1"/>
  <c r="F70" i="1"/>
  <c r="F68" i="1"/>
  <c r="F67" i="1"/>
  <c r="E61" i="1"/>
  <c r="D61" i="1"/>
  <c r="F49" i="1"/>
  <c r="F7" i="1"/>
  <c r="E7" i="1"/>
  <c r="F16" i="1"/>
  <c r="F36" i="1"/>
  <c r="E49" i="1"/>
  <c r="F48" i="1"/>
  <c r="F44" i="1"/>
  <c r="E44" i="1"/>
  <c r="F43" i="1"/>
  <c r="E36" i="1"/>
  <c r="F35" i="1"/>
  <c r="F34" i="1"/>
  <c r="F33" i="1"/>
  <c r="F29" i="1"/>
  <c r="E29" i="1"/>
  <c r="F28" i="1"/>
  <c r="F20" i="1"/>
  <c r="E16" i="1"/>
  <c r="F15" i="1"/>
  <c r="F14" i="1"/>
  <c r="F13" i="1"/>
  <c r="F6" i="1"/>
  <c r="L91" i="1" l="1"/>
  <c r="L89" i="1"/>
  <c r="L90" i="1"/>
  <c r="K74" i="1"/>
  <c r="J74" i="1"/>
  <c r="F69" i="1"/>
  <c r="F65" i="1"/>
  <c r="F40" i="1"/>
  <c r="F27" i="1"/>
  <c r="L57" i="1"/>
  <c r="F56" i="1"/>
  <c r="E69" i="1" l="1"/>
  <c r="E60" i="1"/>
  <c r="F60" i="1"/>
  <c r="K85" i="1"/>
  <c r="K77" i="1"/>
  <c r="L64" i="1"/>
  <c r="L52" i="1"/>
  <c r="L43" i="1"/>
  <c r="L7" i="1"/>
  <c r="L8" i="1"/>
  <c r="K89" i="1"/>
  <c r="L69" i="1" l="1"/>
  <c r="L70" i="1" s="1"/>
  <c r="L68" i="1"/>
  <c r="F32" i="1"/>
  <c r="E6" i="1"/>
  <c r="J89" i="1"/>
  <c r="I89" i="1"/>
  <c r="J87" i="1"/>
  <c r="I87" i="1" l="1"/>
  <c r="D56" i="1"/>
  <c r="C13" i="1"/>
  <c r="C14" i="1" s="1"/>
  <c r="C20" i="1"/>
  <c r="I12" i="1"/>
  <c r="C69" i="1"/>
  <c r="C27" i="1"/>
  <c r="J85" i="1"/>
  <c r="I57" i="1"/>
  <c r="J57" i="1"/>
  <c r="K57" i="1"/>
  <c r="E48" i="1"/>
  <c r="D48" i="1"/>
  <c r="D6" i="1"/>
  <c r="D69" i="1"/>
  <c r="E13" i="1"/>
  <c r="D13" i="1"/>
  <c r="E27" i="1"/>
  <c r="K88" i="1" l="1"/>
  <c r="K90" i="1" s="1"/>
  <c r="J88" i="1"/>
  <c r="J90" i="1" s="1"/>
  <c r="I88" i="1"/>
  <c r="I90" i="1" s="1"/>
  <c r="D20" i="1"/>
  <c r="D15" i="1"/>
  <c r="D14" i="1"/>
  <c r="E15" i="1"/>
  <c r="E14" i="1"/>
  <c r="C68" i="1"/>
  <c r="C70" i="1" s="1"/>
  <c r="I79" i="1" s="1"/>
  <c r="E65" i="1"/>
  <c r="E67" i="1" s="1"/>
  <c r="D60" i="1"/>
  <c r="C60" i="1"/>
  <c r="K43" i="1"/>
  <c r="E40" i="1"/>
  <c r="F42" i="1" l="1"/>
  <c r="I86" i="1"/>
  <c r="C22" i="1"/>
  <c r="J86" i="1"/>
  <c r="D65" i="1"/>
  <c r="D67" i="1" s="1"/>
  <c r="C32" i="1"/>
  <c r="D32" i="1"/>
  <c r="E32" i="1"/>
  <c r="D27" i="1"/>
  <c r="J77" i="1"/>
  <c r="J12" i="1"/>
  <c r="K12" i="1"/>
  <c r="I7" i="1"/>
  <c r="J7" i="1"/>
  <c r="K7" i="1"/>
  <c r="E56" i="1"/>
  <c r="K55" i="1"/>
  <c r="K64" i="1" s="1"/>
  <c r="K91" i="1" s="1"/>
  <c r="K46" i="1"/>
  <c r="K52" i="1" s="1"/>
  <c r="K30" i="1"/>
  <c r="K8" i="1"/>
  <c r="K78" i="1" s="1"/>
  <c r="I74" i="1"/>
  <c r="I77" i="1" s="1"/>
  <c r="C56" i="1"/>
  <c r="C57" i="1" s="1"/>
  <c r="K68" i="1" l="1"/>
  <c r="C29" i="1"/>
  <c r="C28" i="1"/>
  <c r="K83" i="1"/>
  <c r="K84" i="1"/>
  <c r="K69" i="1"/>
  <c r="K70" i="1" s="1"/>
  <c r="D52" i="1"/>
  <c r="D57" i="1" s="1"/>
  <c r="E52" i="1" s="1"/>
  <c r="E57" i="1" s="1"/>
  <c r="F52" i="1" s="1"/>
  <c r="F57" i="1" s="1"/>
  <c r="E68" i="1"/>
  <c r="E70" i="1" s="1"/>
  <c r="K79" i="1" s="1"/>
  <c r="D68" i="1"/>
  <c r="D70" i="1" s="1"/>
  <c r="J79" i="1" s="1"/>
  <c r="E20" i="1"/>
  <c r="C40" i="1"/>
  <c r="D40" i="1"/>
  <c r="J30" i="1"/>
  <c r="I55" i="1"/>
  <c r="I64" i="1" s="1"/>
  <c r="J55" i="1"/>
  <c r="J64" i="1" s="1"/>
  <c r="I46" i="1"/>
  <c r="I52" i="1" s="1"/>
  <c r="J46" i="1"/>
  <c r="J43" i="1"/>
  <c r="I43" i="1"/>
  <c r="I30" i="1"/>
  <c r="J8" i="1"/>
  <c r="I8" i="1"/>
  <c r="I69" i="1" l="1"/>
  <c r="I70" i="1" s="1"/>
  <c r="K86" i="1"/>
  <c r="K82" i="1"/>
  <c r="I14" i="1"/>
  <c r="I82" i="1" s="1"/>
  <c r="I84" i="1"/>
  <c r="I83" i="1"/>
  <c r="J75" i="1"/>
  <c r="J78" i="1" s="1"/>
  <c r="J14" i="1"/>
  <c r="J82" i="1" s="1"/>
  <c r="J84" i="1"/>
  <c r="J83" i="1"/>
  <c r="I91" i="1"/>
  <c r="I68" i="1"/>
  <c r="I66" i="1"/>
  <c r="J91" i="1"/>
  <c r="J68" i="1"/>
  <c r="J66" i="1"/>
  <c r="J52" i="1"/>
  <c r="E22" i="1"/>
  <c r="E28" i="1" s="1"/>
  <c r="D22" i="1"/>
  <c r="D29" i="1" l="1"/>
  <c r="D33" i="1" s="1"/>
  <c r="D28" i="1"/>
  <c r="E33" i="1"/>
  <c r="K81" i="1" s="1"/>
  <c r="J69" i="1"/>
  <c r="J70" i="1" s="1"/>
  <c r="K80" i="1" s="1"/>
  <c r="C33" i="1"/>
  <c r="E34" i="1" l="1"/>
  <c r="E42" i="1"/>
  <c r="J80" i="1"/>
  <c r="C42" i="1"/>
  <c r="I81" i="1"/>
  <c r="J81" i="1"/>
  <c r="D34" i="1"/>
  <c r="E35" i="1"/>
  <c r="C34" i="1"/>
  <c r="D35" i="1"/>
  <c r="D42" i="1"/>
  <c r="E43" i="1" l="1"/>
  <c r="D43" i="1"/>
</calcChain>
</file>

<file path=xl/sharedStrings.xml><?xml version="1.0" encoding="utf-8"?>
<sst xmlns="http://schemas.openxmlformats.org/spreadsheetml/2006/main" count="174" uniqueCount="142">
  <si>
    <t>March Year Ended (INR Mn)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</si>
  <si>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</si>
  <si>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</si>
  <si>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</si>
  <si>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</si>
  <si>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</si>
  <si>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</si>
  <si>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</si>
  <si>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</si>
  <si>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</si>
  <si>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</si>
  <si>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</si>
  <si>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</si>
  <si>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</si>
  <si>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 xml:space="preserve">b) Right-of-use Assets </t>
  </si>
  <si>
    <t>c) Capital Work in Progress</t>
  </si>
  <si>
    <t>d) Other Intangible Assets</t>
  </si>
  <si>
    <t xml:space="preserve">e) Intangible Assets under Development </t>
  </si>
  <si>
    <t xml:space="preserve">f) Goodwill on Consolidation </t>
  </si>
  <si>
    <t>g) Financial Assets:</t>
  </si>
  <si>
    <t xml:space="preserve">i)   Investments 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</si>
  <si>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</si>
  <si>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</si>
  <si>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</si>
  <si>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</si>
  <si>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</si>
  <si>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</si>
  <si>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</si>
  <si>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i)  Investments </t>
  </si>
  <si>
    <t xml:space="preserve">iv)Bank Balances other than (iii) above </t>
  </si>
  <si>
    <t>v) Loans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</si>
  <si>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</si>
  <si>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</si>
  <si>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</si>
  <si>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</si>
  <si>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</si>
  <si>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</si>
  <si>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</si>
  <si>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</si>
  <si>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Total Non-current Liabilities </t>
  </si>
  <si>
    <t>Current Liabilities:</t>
  </si>
  <si>
    <t xml:space="preserve">b) Other Current Liabilities </t>
  </si>
  <si>
    <t>c) Provisions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</si>
  <si>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</si>
  <si>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</si>
  <si>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</si>
  <si>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</si>
  <si>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</si>
  <si>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</si>
  <si>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</si>
  <si>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j) Other Non Current Assets</t>
  </si>
  <si>
    <t>iii)Other Financial Liabilities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</si>
  <si>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</si>
  <si>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</si>
  <si>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</si>
  <si>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</si>
  <si>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</si>
  <si>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Purchases of Stock in trade</t>
  </si>
  <si>
    <t>Employee Benefit Expense</t>
  </si>
  <si>
    <t>Other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</si>
  <si>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</si>
  <si>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</si>
  <si>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</si>
  <si>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</si>
  <si>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</si>
  <si>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</si>
  <si>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</si>
  <si>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</t>
  </si>
  <si>
    <t>Tax Expense</t>
  </si>
  <si>
    <t>a) Current</t>
  </si>
  <si>
    <t>Effective tax rate (%)</t>
  </si>
  <si>
    <t>Total Taxes</t>
  </si>
  <si>
    <t>PBT from Discontinuing Operations</t>
  </si>
  <si>
    <t>PAT from Discontinuing Operations</t>
  </si>
  <si>
    <t>Net Profit for the Year</t>
  </si>
  <si>
    <t>PAT margin (%)</t>
  </si>
  <si>
    <t>Other Comprehensive Income: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</si>
  <si>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</si>
  <si>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</si>
  <si>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</si>
  <si>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</si>
  <si>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</si>
  <si>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</si>
  <si>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</si>
  <si>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</si>
  <si>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</si>
  <si>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</si>
  <si>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>Net in Cash and Cash Equivalent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</si>
  <si>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</si>
  <si>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</si>
  <si>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</si>
  <si>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</si>
  <si>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</si>
  <si>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</si>
  <si>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</si>
  <si>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</si>
  <si>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</si>
  <si>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</si>
  <si>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</si>
  <si>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</si>
  <si>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</si>
  <si>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</si>
  <si>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</si>
  <si>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</si>
  <si>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</si>
  <si>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</si>
  <si>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</si>
  <si>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</si>
  <si>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</si>
  <si>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</si>
  <si>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</si>
  <si>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>BVPS (₹)</t>
  </si>
  <si>
    <t>DPS (₹)</t>
  </si>
  <si>
    <t>EPS (₹)</t>
  </si>
  <si>
    <t>CMP (As per Stock Price at BSE) (₹)</t>
  </si>
  <si>
    <t>Asset Tunover</t>
  </si>
  <si>
    <t>Ratios</t>
  </si>
  <si>
    <t>PAT</t>
  </si>
  <si>
    <t xml:space="preserve">PBT Before Exceptional Items &amp; Tax </t>
  </si>
  <si>
    <t xml:space="preserve">Exceptional Items </t>
  </si>
  <si>
    <t>Aarti Pharmalabs Limited</t>
  </si>
  <si>
    <t xml:space="preserve">b) Earlier </t>
  </si>
  <si>
    <t>c) Deferred</t>
  </si>
  <si>
    <t>a) Items that will be reclassified to P&amp;L</t>
  </si>
  <si>
    <t>b) Items that may not be reclassified to P&amp;L</t>
  </si>
  <si>
    <t>ii) Lease Liabilities</t>
  </si>
  <si>
    <t xml:space="preserve">iii) Other Financial Liabilities </t>
  </si>
  <si>
    <t>Micro and small enterprise</t>
  </si>
  <si>
    <t>Other</t>
  </si>
  <si>
    <t>d) Current Tax Asset</t>
  </si>
  <si>
    <t>iii) Trade Payables</t>
  </si>
  <si>
    <t>FY24</t>
  </si>
  <si>
    <t>ii) Loan</t>
  </si>
  <si>
    <t>iii) Other Financial Assets</t>
  </si>
  <si>
    <t>No. of Shares</t>
  </si>
  <si>
    <t>Face Value per share</t>
  </si>
  <si>
    <t>Market Cap</t>
  </si>
  <si>
    <t xml:space="preserve">  </t>
  </si>
  <si>
    <t>-</t>
  </si>
  <si>
    <t>FY25</t>
  </si>
  <si>
    <t xml:space="preserve">d) Other Non-current financial Liabilities </t>
  </si>
  <si>
    <t>d) current Tax Liabilities (Net)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</si>
</sst>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 * #,##0.0_ ;_ * \-#,##0.0_ ;_ * &quot;-&quot;?_ ;_ @_ "/>
    <numFmt numFmtId="166" formatCode="#,##0.0_ ;\-#,##0.0\ "/>
    <numFmt numFmtId="167" formatCode="_ * #,##0_ ;_ * \-#,##0_ ;_ * &quot;-&quot;??_ ;_ @_ "/>
    <numFmt numFmtId="168" formatCode="0.0%"/>
  </numFmts>
  <fonts count="14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MyFirstFont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0" fillId="0" borderId="1" xfId="0" applyBorder="1" applyAlignment="1">
      <alignment horizontal="left" indent="1"/>
    </xf>
    <xf numFmtId="0" fontId="0" fillId="3" borderId="1" xfId="0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2" fillId="0" borderId="1" xfId="0" applyFont="1" applyBorder="1"/>
    <xf numFmtId="164" fontId="0" fillId="0" borderId="0" xfId="0" applyNumberFormat="1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right"/>
    </xf>
    <xf numFmtId="43" fontId="0" fillId="2" borderId="1" xfId="1" applyFont="1" applyFill="1" applyBorder="1"/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9" fontId="0" fillId="3" borderId="1" xfId="2" applyFont="1" applyFill="1" applyBorder="1" applyAlignment="1">
      <alignment horizontal="center"/>
    </xf>
    <xf numFmtId="0" fontId="0" fillId="4" borderId="1" xfId="0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9" fontId="0" fillId="0" borderId="0" xfId="2" applyFont="1" applyFill="1"/>
    <xf numFmtId="0" fontId="0" fillId="6" borderId="0" xfId="0" applyFill="1"/>
    <xf numFmtId="0" fontId="0" fillId="2" borderId="1" xfId="0" applyFill="1" applyBorder="1"/>
    <xf numFmtId="0" fontId="6" fillId="7" borderId="1" xfId="0" applyFont="1" applyFill="1" applyBorder="1"/>
    <xf numFmtId="10" fontId="8" fillId="7" borderId="1" xfId="0" applyNumberFormat="1" applyFont="1" applyFill="1" applyBorder="1"/>
    <xf numFmtId="10" fontId="8" fillId="7" borderId="1" xfId="0" applyNumberFormat="1" applyFont="1" applyFill="1" applyBorder="1" applyAlignment="1">
      <alignment horizontal="right"/>
    </xf>
    <xf numFmtId="0" fontId="5" fillId="7" borderId="1" xfId="0" applyFont="1" applyFill="1" applyBorder="1"/>
    <xf numFmtId="0" fontId="9" fillId="5" borderId="1" xfId="0" applyFont="1" applyFill="1" applyBorder="1"/>
    <xf numFmtId="0" fontId="9" fillId="2" borderId="1" xfId="0" applyFont="1" applyFill="1" applyBorder="1"/>
    <xf numFmtId="0" fontId="7" fillId="7" borderId="1" xfId="0" applyFont="1" applyFill="1" applyBorder="1"/>
    <xf numFmtId="10" fontId="0" fillId="0" borderId="0" xfId="0" applyNumberFormat="1"/>
    <xf numFmtId="43" fontId="0" fillId="0" borderId="1" xfId="1" applyFont="1" applyFill="1" applyBorder="1"/>
    <xf numFmtId="166" fontId="7" fillId="7" borderId="1" xfId="1" applyNumberFormat="1" applyFont="1" applyFill="1" applyBorder="1"/>
    <xf numFmtId="164" fontId="2" fillId="2" borderId="1" xfId="0" applyNumberFormat="1" applyFont="1" applyFill="1" applyBorder="1"/>
    <xf numFmtId="166" fontId="3" fillId="2" borderId="1" xfId="1" applyNumberFormat="1" applyFont="1" applyFill="1" applyBorder="1"/>
    <xf numFmtId="164" fontId="3" fillId="2" borderId="1" xfId="1" applyNumberFormat="1" applyFont="1" applyFill="1" applyBorder="1"/>
    <xf numFmtId="167" fontId="3" fillId="2" borderId="1" xfId="1" applyNumberFormat="1" applyFont="1" applyFill="1" applyBorder="1"/>
    <xf numFmtId="1" fontId="2" fillId="2" borderId="1" xfId="0" applyNumberFormat="1" applyFont="1" applyFill="1" applyBorder="1"/>
    <xf numFmtId="43" fontId="0" fillId="0" borderId="1" xfId="1" applyFont="1" applyFill="1" applyBorder="1" applyAlignment="1">
      <alignment horizontal="right"/>
    </xf>
    <xf numFmtId="2" fontId="0" fillId="0" borderId="1" xfId="0" applyNumberFormat="1" applyBorder="1"/>
    <xf numFmtId="166" fontId="0" fillId="0" borderId="1" xfId="1" applyNumberFormat="1" applyFont="1" applyFill="1" applyBorder="1"/>
    <xf numFmtId="164" fontId="0" fillId="0" borderId="1" xfId="1" applyNumberFormat="1" applyFont="1" applyFill="1" applyBorder="1"/>
    <xf numFmtId="165" fontId="0" fillId="0" borderId="1" xfId="0" applyNumberFormat="1" applyBorder="1" applyAlignment="1">
      <alignment horizontal="right"/>
    </xf>
    <xf numFmtId="3" fontId="10" fillId="0" borderId="1" xfId="0" applyNumberFormat="1" applyFont="1" applyBorder="1"/>
    <xf numFmtId="167" fontId="0" fillId="0" borderId="1" xfId="1" applyNumberFormat="1" applyFont="1" applyFill="1" applyBorder="1"/>
    <xf numFmtId="43" fontId="0" fillId="0" borderId="1" xfId="1" applyFont="1" applyFill="1" applyBorder="1" applyAlignment="1">
      <alignment wrapText="1"/>
    </xf>
    <xf numFmtId="43" fontId="0" fillId="0" borderId="1" xfId="0" applyNumberFormat="1" applyBorder="1" applyAlignment="1">
      <alignment horizontal="right"/>
    </xf>
    <xf numFmtId="164" fontId="2" fillId="0" borderId="1" xfId="0" applyNumberFormat="1" applyFont="1" applyBorder="1"/>
    <xf numFmtId="168" fontId="0" fillId="0" borderId="1" xfId="2" applyNumberFormat="1" applyFont="1" applyFill="1" applyBorder="1"/>
    <xf numFmtId="10" fontId="0" fillId="0" borderId="1" xfId="2" applyNumberFormat="1" applyFont="1" applyFill="1" applyBorder="1"/>
    <xf numFmtId="2" fontId="0" fillId="0" borderId="1" xfId="2" applyNumberFormat="1" applyFont="1" applyFill="1" applyBorder="1"/>
    <xf numFmtId="43" fontId="0" fillId="0" borderId="1" xfId="1" applyFont="1" applyFill="1" applyBorder="1" applyAlignment="1">
      <alignment horizontal="center"/>
    </xf>
    <xf numFmtId="164" fontId="11" fillId="0" borderId="1" xfId="0" applyNumberFormat="1" applyFont="1" applyBorder="1"/>
    <xf numFmtId="43" fontId="0" fillId="0" borderId="0" xfId="1" applyFont="1" applyFill="1" applyAlignment="1">
      <alignment horizontal="left" vertical="center"/>
    </xf>
    <xf numFmtId="164" fontId="12" fillId="2" borderId="1" xfId="0" applyNumberFormat="1" applyFont="1" applyFill="1" applyBorder="1"/>
    <xf numFmtId="10" fontId="13" fillId="7" borderId="1" xfId="0" applyNumberFormat="1" applyFont="1" applyFill="1" applyBorder="1" applyAlignment="1">
      <alignment horizontal="right"/>
    </xf>
    <xf numFmtId="43" fontId="11" fillId="0" borderId="1" xfId="0" applyNumberFormat="1" applyFont="1" applyBorder="1"/>
    <xf numFmtId="164" fontId="11" fillId="2" borderId="1" xfId="0" applyNumberFormat="1" applyFont="1" applyFill="1" applyBorder="1"/>
    <xf numFmtId="43" fontId="11" fillId="0" borderId="1" xfId="1" applyFont="1" applyBorder="1" applyAlignment="1">
      <alignment horizontal="right"/>
    </xf>
    <xf numFmtId="43" fontId="11" fillId="2" borderId="1" xfId="1" applyFont="1" applyFill="1" applyBorder="1"/>
    <xf numFmtId="43" fontId="11" fillId="0" borderId="1" xfId="1" applyFont="1" applyFill="1" applyBorder="1" applyAlignment="1">
      <alignment horizontal="right"/>
    </xf>
    <xf numFmtId="0" fontId="11" fillId="0" borderId="1" xfId="0" applyFont="1" applyBorder="1"/>
    <xf numFmtId="164" fontId="11" fillId="0" borderId="0" xfId="0" applyNumberFormat="1" applyFont="1"/>
    <xf numFmtId="0" fontId="11" fillId="0" borderId="0" xfId="0" applyFont="1"/>
    <xf numFmtId="0" fontId="11" fillId="3" borderId="1" xfId="0" applyFont="1" applyFill="1" applyBorder="1"/>
    <xf numFmtId="2" fontId="11" fillId="0" borderId="1" xfId="0" applyNumberFormat="1" applyFont="1" applyBorder="1"/>
    <xf numFmtId="43" fontId="1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10"/>
  <sheetViews>
    <sheetView tabSelected="1" zoomScale="85" zoomScaleNormal="85" workbookViewId="0">
      <pane ySplit="4" topLeftCell="A32" activePane="bottomLeft" state="frozen"/>
      <selection pane="bottomLeft" activeCell="L87" sqref="L87"/>
    </sheetView>
  </sheetViews>
  <sheetFormatPr defaultRowHeight="14.4"/>
  <cols>
    <col min="2" max="2" width="50.6640625" customWidth="1"/>
    <col min="3" max="3" width="10.6640625" customWidth="1"/>
    <col min="4" max="4" width="10" customWidth="1"/>
    <col min="5" max="6" width="10.6640625" customWidth="1"/>
    <col min="7" max="7" width="4.109375" customWidth="1"/>
    <col min="8" max="8" width="50.6640625" customWidth="1"/>
    <col min="9" max="11" width="10.6640625" customWidth="1"/>
    <col min="12" max="12" width="12.33203125" bestFit="1" customWidth="1"/>
    <col min="14" max="14" width="43.44140625" bestFit="1" customWidth="1"/>
  </cols>
  <sheetData>
    <row r="2" spans="1:12" ht="19.5" customHeight="1">
      <c r="B2" s="73" t="s">
        <v>120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4.25" customHeight="1">
      <c r="B3" s="69" t="s">
        <v>49</v>
      </c>
      <c r="C3" s="70"/>
      <c r="D3" s="70"/>
      <c r="E3" s="70"/>
      <c r="F3" s="70"/>
      <c r="G3" s="23"/>
      <c r="H3" s="71" t="s">
        <v>48</v>
      </c>
      <c r="I3" s="72"/>
      <c r="J3" s="72"/>
      <c r="K3" s="72"/>
      <c r="L3" s="72"/>
    </row>
    <row r="4" spans="1:12">
      <c r="B4" s="17" t="s">
        <v>0</v>
      </c>
      <c r="C4" s="4" t="s">
        <v>1</v>
      </c>
      <c r="D4" s="4" t="s">
        <v>2</v>
      </c>
      <c r="E4" s="4" t="s">
        <v>131</v>
      </c>
      <c r="F4" s="4" t="s">
        <v>139</v>
      </c>
      <c r="G4" s="23"/>
      <c r="H4" s="17" t="s">
        <v>0</v>
      </c>
      <c r="I4" s="4" t="s">
        <v>1</v>
      </c>
      <c r="J4" s="4" t="s">
        <v>2</v>
      </c>
      <c r="K4" s="4" t="s">
        <v>131</v>
      </c>
      <c r="L4" s="4" t="s">
        <v>139</v>
      </c>
    </row>
    <row r="5" spans="1:12">
      <c r="B5" s="9" t="s">
        <v>52</v>
      </c>
      <c r="C5" s="35">
        <v>11999.4</v>
      </c>
      <c r="D5" s="35">
        <v>19452.3</v>
      </c>
      <c r="E5" s="35">
        <v>18526.099999999999</v>
      </c>
      <c r="F5" s="56">
        <v>21150.744999999999</v>
      </c>
      <c r="G5" s="23"/>
      <c r="H5" s="1" t="s">
        <v>3</v>
      </c>
      <c r="I5" s="5">
        <v>455.6</v>
      </c>
      <c r="J5" s="5">
        <v>453.1</v>
      </c>
      <c r="K5" s="5">
        <v>453.1</v>
      </c>
      <c r="L5" s="5">
        <v>453.173</v>
      </c>
    </row>
    <row r="6" spans="1:12">
      <c r="B6" s="28" t="s">
        <v>53</v>
      </c>
      <c r="C6" s="27"/>
      <c r="D6" s="27">
        <f>IF(D5/C5-1&gt;100%,"N.A.",IF(D5/C5-1&lt;-100%,"N.A.",(D5/C5-1)))</f>
        <v>0.62110605530276519</v>
      </c>
      <c r="E6" s="27">
        <f>IF(E5/D5-1&gt;100%,"N.A.",IF(E5/D5-1&lt;-100%,"N.A.",(E5/D5-1)))</f>
        <v>-4.7613906838780085E-2</v>
      </c>
      <c r="F6" s="27">
        <f>IF(F5/E5-1&gt;100%,"N.A.",IF(F5/E5-1&lt;-100%,"N.A.",(F5/E5-1)))</f>
        <v>0.14167282914374857</v>
      </c>
      <c r="G6" s="23"/>
      <c r="H6" s="1" t="s">
        <v>7</v>
      </c>
      <c r="I6" s="5">
        <v>13409.2</v>
      </c>
      <c r="J6" s="5">
        <v>15131.7</v>
      </c>
      <c r="K6" s="5">
        <v>17117.3</v>
      </c>
      <c r="L6" s="5">
        <v>19445.891</v>
      </c>
    </row>
    <row r="7" spans="1:12">
      <c r="B7" s="28" t="s">
        <v>54</v>
      </c>
      <c r="C7" s="26"/>
      <c r="D7" s="27"/>
      <c r="E7" s="27">
        <f>IF((E5/C5)^(1/3)-1&lt;-100%,"N.A.",IF((E5/C5)^(1/3)-1&gt;100%,"N.A.",((E5/C5)^(1/3)-1)))</f>
        <v>0.15577906687701559</v>
      </c>
      <c r="F7" s="27">
        <f>IF((F5/C5)^(1/3)-1&lt;-100%,"N.A.",IF((F5/C5)^(1/3)-1&gt;100%,"N.A.",((F5/C5)^(1/3)-1)))</f>
        <v>0.20796786053352112</v>
      </c>
      <c r="G7" s="23"/>
      <c r="H7" s="9" t="s">
        <v>8</v>
      </c>
      <c r="I7" s="35">
        <f t="shared" ref="I7:J7" si="0">SUM(I5:I6)+I9</f>
        <v>13864.800000000001</v>
      </c>
      <c r="J7" s="35">
        <f t="shared" si="0"/>
        <v>15584.800000000001</v>
      </c>
      <c r="K7" s="35">
        <f>SUM(K5:K6)+K9</f>
        <v>17570.399999999998</v>
      </c>
      <c r="L7" s="35">
        <f>SUM(L5:L6)+L9</f>
        <v>19899.063999999998</v>
      </c>
    </row>
    <row r="8" spans="1:12">
      <c r="B8" s="10" t="s">
        <v>55</v>
      </c>
      <c r="C8" s="5">
        <v>6112.4</v>
      </c>
      <c r="D8" s="5">
        <v>10143</v>
      </c>
      <c r="E8" s="5">
        <v>8584.5</v>
      </c>
      <c r="F8" s="54">
        <v>8870.2240000000002</v>
      </c>
      <c r="G8" s="23"/>
      <c r="H8" s="9" t="s">
        <v>9</v>
      </c>
      <c r="I8" s="35">
        <f>SUM(I5:I6)</f>
        <v>13864.800000000001</v>
      </c>
      <c r="J8" s="35">
        <f>SUM(J5:J6)</f>
        <v>15584.800000000001</v>
      </c>
      <c r="K8" s="35">
        <f>SUM(K5:K6)</f>
        <v>17570.399999999998</v>
      </c>
      <c r="L8" s="35">
        <f>SUM(L5:L6)</f>
        <v>19899.063999999998</v>
      </c>
    </row>
    <row r="9" spans="1:12">
      <c r="B9" s="10" t="s">
        <v>57</v>
      </c>
      <c r="C9" s="5">
        <v>1629.2</v>
      </c>
      <c r="D9" s="5">
        <v>2808.2</v>
      </c>
      <c r="E9" s="5">
        <v>1822.2</v>
      </c>
      <c r="F9" s="54">
        <v>1766.347</v>
      </c>
      <c r="G9" s="23"/>
      <c r="H9" s="1" t="s">
        <v>10</v>
      </c>
      <c r="I9" s="13">
        <v>0</v>
      </c>
      <c r="J9" s="13">
        <v>0</v>
      </c>
      <c r="K9" s="13">
        <v>0</v>
      </c>
      <c r="L9" s="13">
        <v>0</v>
      </c>
    </row>
    <row r="10" spans="1:12">
      <c r="B10" s="10" t="s">
        <v>56</v>
      </c>
      <c r="C10" s="5">
        <v>-490.5</v>
      </c>
      <c r="D10" s="5">
        <v>-1253.5999999999999</v>
      </c>
      <c r="E10" s="5">
        <v>-199.5</v>
      </c>
      <c r="F10" s="54">
        <v>642.20399999999995</v>
      </c>
      <c r="G10" s="23"/>
      <c r="H10" s="1" t="s">
        <v>4</v>
      </c>
      <c r="I10" s="5">
        <v>5.5</v>
      </c>
      <c r="J10" s="5">
        <v>1.8</v>
      </c>
      <c r="K10" s="5">
        <v>0.4</v>
      </c>
      <c r="L10" s="5">
        <v>1035.556</v>
      </c>
    </row>
    <row r="11" spans="1:12">
      <c r="B11" s="10" t="s">
        <v>58</v>
      </c>
      <c r="C11" s="5">
        <v>852</v>
      </c>
      <c r="D11" s="5">
        <v>1296.9000000000001</v>
      </c>
      <c r="E11" s="5">
        <v>1384.1</v>
      </c>
      <c r="F11" s="54">
        <v>1619.595</v>
      </c>
      <c r="G11" s="23"/>
      <c r="H11" s="1" t="s">
        <v>5</v>
      </c>
      <c r="I11" s="5">
        <v>3377.3</v>
      </c>
      <c r="J11" s="5">
        <v>2141.5</v>
      </c>
      <c r="K11" s="5">
        <v>2640.6</v>
      </c>
      <c r="L11" s="5">
        <v>2927.9670000000001</v>
      </c>
    </row>
    <row r="12" spans="1:12">
      <c r="B12" s="10" t="s">
        <v>59</v>
      </c>
      <c r="C12" s="5">
        <v>1826.8</v>
      </c>
      <c r="D12" s="5">
        <v>3037.4</v>
      </c>
      <c r="E12" s="5">
        <v>3074.4</v>
      </c>
      <c r="F12" s="54">
        <v>3608.6689999999999</v>
      </c>
      <c r="G12" s="23"/>
      <c r="H12" s="9" t="s">
        <v>11</v>
      </c>
      <c r="I12" s="35">
        <f>SUM(I10:I11)</f>
        <v>3382.8</v>
      </c>
      <c r="J12" s="35">
        <f t="shared" ref="J12" si="1">SUM(J10:J11)</f>
        <v>2143.3000000000002</v>
      </c>
      <c r="K12" s="35">
        <f>SUM(K10:K11)</f>
        <v>2641</v>
      </c>
      <c r="L12" s="35">
        <f>SUM(L10:L11)</f>
        <v>3963.5230000000001</v>
      </c>
    </row>
    <row r="13" spans="1:12">
      <c r="A13" s="32"/>
      <c r="B13" s="9" t="s">
        <v>60</v>
      </c>
      <c r="C13" s="35">
        <f>C5-SUM(C8:C12)</f>
        <v>2069.5</v>
      </c>
      <c r="D13" s="35">
        <f>D5-SUM(D8:D12)</f>
        <v>3420.3999999999996</v>
      </c>
      <c r="E13" s="35">
        <f>E5-SUM(E8:E12)</f>
        <v>3860.3999999999978</v>
      </c>
      <c r="F13" s="56">
        <f>F5-SUM(F8:F12)</f>
        <v>4643.7060000000019</v>
      </c>
      <c r="G13" s="23"/>
      <c r="H13" s="1"/>
      <c r="I13" s="5"/>
      <c r="J13" s="5"/>
      <c r="K13" s="5"/>
      <c r="L13" s="5"/>
    </row>
    <row r="14" spans="1:12">
      <c r="B14" s="25" t="s">
        <v>61</v>
      </c>
      <c r="C14" s="27">
        <f>IF(C13/C5&gt;100%,"N.A",IF(C13/C5&lt;-100%,"N.A.",(C13/C5)))</f>
        <v>0.1724669566811674</v>
      </c>
      <c r="D14" s="27">
        <f>IF(D13/D5&gt;100%,"N.A",IF(D13/D5&lt;-100%,"N.A.",(D13/D5)))</f>
        <v>0.175835248273983</v>
      </c>
      <c r="E14" s="27">
        <f>IF(E13/E5&gt;100%,"N.A",IF(E13/E5&lt;-100%,"N.A.",(E13/E5)))</f>
        <v>0.20837629074656824</v>
      </c>
      <c r="F14" s="27">
        <f>IF(F13/F5&gt;100%,"N.A",IF(F13/F5&lt;-100%,"N.A.",(F13/F5)))</f>
        <v>0.21955283371815046</v>
      </c>
      <c r="G14" s="23"/>
      <c r="H14" s="9" t="s">
        <v>6</v>
      </c>
      <c r="I14" s="35">
        <f>I8+I12</f>
        <v>17247.600000000002</v>
      </c>
      <c r="J14" s="35">
        <f>J8+J12</f>
        <v>17728.100000000002</v>
      </c>
      <c r="K14" s="35">
        <f>K8+K12</f>
        <v>20211.399999999998</v>
      </c>
      <c r="L14" s="35">
        <f>L8+L12</f>
        <v>23862.587</v>
      </c>
    </row>
    <row r="15" spans="1:12">
      <c r="B15" s="25" t="s">
        <v>53</v>
      </c>
      <c r="C15" s="27"/>
      <c r="D15" s="27">
        <f>IF(D13/C13-1&gt;100%,("N.A."),IF(D13/C13-1&lt;-100%,("N.A."),(D13/C13-1)))</f>
        <v>0.65276636868808868</v>
      </c>
      <c r="E15" s="27">
        <f>IF(E13/D13-1&gt;100%,("N.A."),IF(E13/D13-1&lt;-100%,("N.A."),(E13/D13-1)))</f>
        <v>0.12863992515495215</v>
      </c>
      <c r="F15" s="27">
        <f>IF(F13/E13-1&gt;100%,("N.A."),IF(F13/E13-1&lt;-100%,("N.A."),(F13/E13-1)))</f>
        <v>0.20290798880945093</v>
      </c>
      <c r="G15" s="23"/>
      <c r="H15" s="1"/>
      <c r="I15" s="5"/>
      <c r="J15" s="5"/>
      <c r="K15" s="5"/>
      <c r="L15" s="5"/>
    </row>
    <row r="16" spans="1:12">
      <c r="B16" s="25" t="s">
        <v>62</v>
      </c>
      <c r="C16" s="27"/>
      <c r="D16" s="27"/>
      <c r="E16" s="27">
        <f>IF((E13/C13)^(1/3)-1&lt;-100%,"N.A.",IF((E13/C13)^(1/3)-1&gt;100%,"N.A.",((E13/C13)^(1/3)-1)))</f>
        <v>0.23099311923691279</v>
      </c>
      <c r="F16" s="27">
        <f>IF((F13/C13)^(1/3)-1&lt;-100%,"N.A.",IF((F13/C13)^(1/3)-1&gt;100%,"N.A.",((F13/C13)^(1/3)-1)))</f>
        <v>0.30918120490919154</v>
      </c>
      <c r="G16" s="23"/>
      <c r="H16" s="9" t="s">
        <v>12</v>
      </c>
      <c r="I16" s="6"/>
      <c r="J16" s="6"/>
      <c r="K16" s="6"/>
      <c r="L16" s="6"/>
    </row>
    <row r="17" spans="2:12">
      <c r="B17" s="1" t="s">
        <v>63</v>
      </c>
      <c r="C17" s="5">
        <v>25.1</v>
      </c>
      <c r="D17" s="5">
        <v>23.2</v>
      </c>
      <c r="E17" s="5">
        <v>49</v>
      </c>
      <c r="F17" s="54">
        <v>101.19199999999999</v>
      </c>
      <c r="G17" s="23"/>
      <c r="H17" s="1"/>
      <c r="I17" s="1"/>
      <c r="J17" s="1"/>
      <c r="K17" s="1"/>
      <c r="L17" s="1"/>
    </row>
    <row r="18" spans="2:12">
      <c r="B18" s="1" t="s">
        <v>64</v>
      </c>
      <c r="C18" s="5">
        <v>421.2</v>
      </c>
      <c r="D18" s="5">
        <v>625.4</v>
      </c>
      <c r="E18" s="5">
        <v>732.4</v>
      </c>
      <c r="F18" s="54">
        <v>869.04</v>
      </c>
      <c r="G18" s="23"/>
      <c r="H18" s="7" t="s">
        <v>23</v>
      </c>
      <c r="I18" s="5"/>
      <c r="J18" s="5"/>
      <c r="K18" s="5"/>
      <c r="L18" s="5"/>
    </row>
    <row r="19" spans="2:12">
      <c r="B19" s="1" t="s">
        <v>65</v>
      </c>
      <c r="C19" s="5">
        <v>119.6</v>
      </c>
      <c r="D19" s="5">
        <v>210.5</v>
      </c>
      <c r="E19" s="5">
        <v>172.1</v>
      </c>
      <c r="F19" s="54">
        <v>268.964</v>
      </c>
      <c r="G19" s="23"/>
      <c r="H19" s="1" t="s">
        <v>13</v>
      </c>
      <c r="I19" s="5">
        <v>7785.4</v>
      </c>
      <c r="J19" s="5">
        <v>9227.4</v>
      </c>
      <c r="K19" s="5">
        <v>9942.2000000000007</v>
      </c>
      <c r="L19" s="5">
        <v>10886.871999999999</v>
      </c>
    </row>
    <row r="20" spans="2:12">
      <c r="B20" s="9" t="s">
        <v>118</v>
      </c>
      <c r="C20" s="35">
        <f>C13+C17-SUM(C18:C19)</f>
        <v>1553.8</v>
      </c>
      <c r="D20" s="35">
        <f>D13+D17-SUM(D18:D19)</f>
        <v>2607.6999999999994</v>
      </c>
      <c r="E20" s="35">
        <f>E13+E17-SUM(E18:E19)</f>
        <v>3004.8999999999978</v>
      </c>
      <c r="F20" s="56">
        <f>F13+F17-SUM(F18:F19)</f>
        <v>3606.8940000000021</v>
      </c>
      <c r="G20" s="23"/>
      <c r="H20" s="1" t="s">
        <v>14</v>
      </c>
      <c r="I20" s="5">
        <v>15.5</v>
      </c>
      <c r="J20" s="5">
        <v>11.4</v>
      </c>
      <c r="K20" s="5">
        <v>204.7</v>
      </c>
      <c r="L20" s="5">
        <v>154.328</v>
      </c>
    </row>
    <row r="21" spans="2:12">
      <c r="B21" s="1" t="s">
        <v>119</v>
      </c>
      <c r="C21" s="14">
        <v>0</v>
      </c>
      <c r="D21" s="14">
        <v>0</v>
      </c>
      <c r="E21" s="14">
        <v>0</v>
      </c>
      <c r="F21" s="58">
        <v>0</v>
      </c>
      <c r="G21" s="23"/>
      <c r="H21" s="1" t="s">
        <v>15</v>
      </c>
      <c r="I21" s="5">
        <v>1652.3</v>
      </c>
      <c r="J21" s="5">
        <v>622</v>
      </c>
      <c r="K21" s="5">
        <v>785</v>
      </c>
      <c r="L21" s="5">
        <v>3065.8180000000002</v>
      </c>
    </row>
    <row r="22" spans="2:12">
      <c r="B22" s="9" t="s">
        <v>66</v>
      </c>
      <c r="C22" s="35">
        <f>C20+C21</f>
        <v>1553.8</v>
      </c>
      <c r="D22" s="35">
        <f>D20+D21</f>
        <v>2607.6999999999994</v>
      </c>
      <c r="E22" s="35">
        <f>E20+E21</f>
        <v>3004.8999999999978</v>
      </c>
      <c r="F22" s="56">
        <v>3606.895</v>
      </c>
      <c r="G22" s="23"/>
      <c r="H22" s="1" t="s">
        <v>16</v>
      </c>
      <c r="I22" s="5">
        <v>2.2999999999999998</v>
      </c>
      <c r="J22" s="5">
        <v>1.8</v>
      </c>
      <c r="K22" s="5">
        <v>168.5</v>
      </c>
      <c r="L22" s="5">
        <v>306.68200000000002</v>
      </c>
    </row>
    <row r="23" spans="2:12">
      <c r="B23" s="1" t="s">
        <v>68</v>
      </c>
      <c r="C23" s="5"/>
      <c r="D23" s="5"/>
      <c r="E23" s="5"/>
      <c r="F23" s="54"/>
      <c r="G23" s="23"/>
      <c r="H23" s="1" t="s">
        <v>17</v>
      </c>
      <c r="I23" s="5">
        <v>221.4</v>
      </c>
      <c r="J23" s="5">
        <v>396.7</v>
      </c>
      <c r="K23" s="5">
        <v>584.20000000000005</v>
      </c>
      <c r="L23" s="5">
        <v>677.71299999999997</v>
      </c>
    </row>
    <row r="24" spans="2:12">
      <c r="B24" s="1" t="s">
        <v>69</v>
      </c>
      <c r="C24" s="5">
        <v>273.3</v>
      </c>
      <c r="D24" s="5">
        <v>559.9</v>
      </c>
      <c r="E24" s="5">
        <v>588.4</v>
      </c>
      <c r="F24" s="54">
        <v>722.02599999999995</v>
      </c>
      <c r="G24" s="23"/>
      <c r="H24" s="1" t="s">
        <v>18</v>
      </c>
      <c r="I24" s="5">
        <v>17.8</v>
      </c>
      <c r="J24" s="5">
        <v>17.8</v>
      </c>
      <c r="K24" s="5">
        <v>17.8</v>
      </c>
      <c r="L24" s="5">
        <v>17.806000000000001</v>
      </c>
    </row>
    <row r="25" spans="2:12">
      <c r="B25" s="1" t="s">
        <v>121</v>
      </c>
      <c r="C25" s="5">
        <v>11.2</v>
      </c>
      <c r="D25" s="5">
        <v>31.3</v>
      </c>
      <c r="E25" s="13">
        <v>-30.6</v>
      </c>
      <c r="F25" s="68">
        <v>-46.951999999999998</v>
      </c>
      <c r="G25" s="23"/>
      <c r="H25" s="1" t="s">
        <v>19</v>
      </c>
      <c r="I25" s="5"/>
      <c r="J25" s="5"/>
      <c r="K25" s="5"/>
      <c r="L25" s="5"/>
    </row>
    <row r="26" spans="2:12">
      <c r="B26" s="1" t="s">
        <v>122</v>
      </c>
      <c r="C26" s="5">
        <v>46.8</v>
      </c>
      <c r="D26" s="5">
        <v>81.7</v>
      </c>
      <c r="E26" s="5">
        <v>278.2</v>
      </c>
      <c r="F26" s="54">
        <v>207.774</v>
      </c>
      <c r="G26" s="23"/>
      <c r="H26" s="1" t="s">
        <v>20</v>
      </c>
      <c r="I26" s="5">
        <v>322.3</v>
      </c>
      <c r="J26" s="5">
        <v>355.2</v>
      </c>
      <c r="K26" s="5">
        <v>367.8</v>
      </c>
      <c r="L26" s="5">
        <v>292.40499999999997</v>
      </c>
    </row>
    <row r="27" spans="2:12">
      <c r="B27" s="1" t="s">
        <v>71</v>
      </c>
      <c r="C27" s="5">
        <f>SUM(C24:C26)</f>
        <v>331.3</v>
      </c>
      <c r="D27" s="5">
        <f>SUM(D24:D26)</f>
        <v>672.9</v>
      </c>
      <c r="E27" s="5">
        <f>SUM(E24:E26)</f>
        <v>836</v>
      </c>
      <c r="F27" s="54">
        <f>SUM(F24:F26)</f>
        <v>882.84799999999996</v>
      </c>
      <c r="G27" s="23"/>
      <c r="H27" s="1" t="s">
        <v>132</v>
      </c>
      <c r="I27" s="5"/>
      <c r="J27" s="5">
        <v>58.5</v>
      </c>
      <c r="K27" s="5">
        <v>58.5</v>
      </c>
      <c r="L27" s="5">
        <v>73.013000000000005</v>
      </c>
    </row>
    <row r="28" spans="2:12">
      <c r="B28" s="25" t="s">
        <v>70</v>
      </c>
      <c r="C28" s="27">
        <f>C27/C22</f>
        <v>0.21321920453082766</v>
      </c>
      <c r="D28" s="27">
        <f>D27/D22</f>
        <v>0.25804348659738474</v>
      </c>
      <c r="E28" s="27">
        <f>E27/E22</f>
        <v>0.27821225331957822</v>
      </c>
      <c r="F28" s="57">
        <f>F27/F22</f>
        <v>0.24476675922088112</v>
      </c>
      <c r="G28" s="23"/>
      <c r="H28" s="1" t="s">
        <v>133</v>
      </c>
      <c r="I28" s="5">
        <v>85.8</v>
      </c>
      <c r="J28" s="5">
        <v>94.4</v>
      </c>
      <c r="K28" s="5">
        <v>113.3</v>
      </c>
      <c r="L28" s="5">
        <v>140.27600000000001</v>
      </c>
    </row>
    <row r="29" spans="2:12">
      <c r="B29" s="2" t="s">
        <v>117</v>
      </c>
      <c r="C29" s="6">
        <f>C22-C27</f>
        <v>1222.5</v>
      </c>
      <c r="D29" s="6">
        <f>D22-D27</f>
        <v>1934.7999999999993</v>
      </c>
      <c r="E29" s="6">
        <f>E22-E27</f>
        <v>2168.8999999999978</v>
      </c>
      <c r="F29" s="59">
        <f>F22-F27</f>
        <v>2724.047</v>
      </c>
      <c r="G29" s="23"/>
      <c r="H29" s="1" t="s">
        <v>50</v>
      </c>
      <c r="I29" s="5">
        <v>14.8</v>
      </c>
      <c r="J29" s="5">
        <v>24.9</v>
      </c>
      <c r="K29" s="5">
        <v>122.6</v>
      </c>
      <c r="L29" s="5">
        <v>227.46700000000001</v>
      </c>
    </row>
    <row r="30" spans="2:12">
      <c r="B30" s="29" t="s">
        <v>72</v>
      </c>
      <c r="C30" s="11">
        <v>0</v>
      </c>
      <c r="D30" s="11">
        <v>0</v>
      </c>
      <c r="E30" s="11">
        <v>0</v>
      </c>
      <c r="F30" s="60">
        <v>0</v>
      </c>
      <c r="G30" s="23"/>
      <c r="H30" s="9" t="s">
        <v>21</v>
      </c>
      <c r="I30" s="35">
        <f>SUM(I19:I29)</f>
        <v>10117.599999999995</v>
      </c>
      <c r="J30" s="35">
        <f>SUM(J19:J29)</f>
        <v>10810.099999999999</v>
      </c>
      <c r="K30" s="35">
        <f>SUM(K19:K29)</f>
        <v>12364.6</v>
      </c>
      <c r="L30" s="35">
        <f>SUM(L19:L29)</f>
        <v>15842.380000000003</v>
      </c>
    </row>
    <row r="31" spans="2:12">
      <c r="B31" s="1" t="s">
        <v>67</v>
      </c>
      <c r="C31" s="11">
        <v>0</v>
      </c>
      <c r="D31" s="11">
        <v>0</v>
      </c>
      <c r="E31" s="11">
        <v>0</v>
      </c>
      <c r="F31" s="60">
        <v>0</v>
      </c>
      <c r="G31" s="23"/>
      <c r="H31" s="1"/>
      <c r="I31" s="1"/>
      <c r="J31" s="1"/>
      <c r="K31" s="1"/>
      <c r="L31" s="1"/>
    </row>
    <row r="32" spans="2:12">
      <c r="B32" s="30" t="s">
        <v>73</v>
      </c>
      <c r="C32" s="12">
        <f t="shared" ref="C32" si="2">C30-C31</f>
        <v>0</v>
      </c>
      <c r="D32" s="12">
        <f t="shared" ref="D32:E32" si="3">D30-D31</f>
        <v>0</v>
      </c>
      <c r="E32" s="12">
        <f t="shared" si="3"/>
        <v>0</v>
      </c>
      <c r="F32" s="61">
        <f t="shared" ref="F32" si="4">F30-F31</f>
        <v>0</v>
      </c>
      <c r="G32" s="23"/>
      <c r="H32" s="7" t="s">
        <v>22</v>
      </c>
      <c r="I32" s="5"/>
      <c r="J32" s="5"/>
      <c r="K32" s="5"/>
      <c r="L32" s="5"/>
    </row>
    <row r="33" spans="2:12">
      <c r="B33" s="2" t="s">
        <v>74</v>
      </c>
      <c r="C33" s="35">
        <f>C29+C32</f>
        <v>1222.5</v>
      </c>
      <c r="D33" s="35">
        <f>D29+D32</f>
        <v>1934.7999999999993</v>
      </c>
      <c r="E33" s="35">
        <f>E29+E32</f>
        <v>2168.8999999999978</v>
      </c>
      <c r="F33" s="56">
        <f>F29+F32</f>
        <v>2724.047</v>
      </c>
      <c r="G33" s="23"/>
      <c r="H33" s="1" t="s">
        <v>24</v>
      </c>
      <c r="I33" s="5">
        <v>4754.5</v>
      </c>
      <c r="J33" s="5">
        <v>6020.4</v>
      </c>
      <c r="K33" s="5">
        <v>6428.6</v>
      </c>
      <c r="L33" s="5">
        <v>5875.7939999999999</v>
      </c>
    </row>
    <row r="34" spans="2:12">
      <c r="B34" s="25" t="s">
        <v>75</v>
      </c>
      <c r="C34" s="27">
        <f>IF(C33/C5&gt;100%,"N.A.",IF(C33/C5&lt;-100%,"N.A.",(C33/C5)))</f>
        <v>0.10188009400470024</v>
      </c>
      <c r="D34" s="27">
        <f>IF(D33/D5&gt;100%,"N.A.",IF(D33/D5&lt;-100%,"N.A.",(D33/D5)))</f>
        <v>9.9463816618086259E-2</v>
      </c>
      <c r="E34" s="27">
        <f>IF(E33/E5&gt;100%,"N.A.",IF(E33/E5&lt;-100%,"N.A.",(E33/E5)))</f>
        <v>0.11707267044871819</v>
      </c>
      <c r="F34" s="57">
        <f>IF(F33/F5&gt;100%,"N.A.",IF(F33/F5&lt;-100%,"N.A.",(F33/F5)))</f>
        <v>0.12879201181802344</v>
      </c>
      <c r="G34" s="23"/>
      <c r="H34" s="1" t="s">
        <v>25</v>
      </c>
      <c r="I34" s="5"/>
      <c r="J34" s="5"/>
      <c r="K34" s="5"/>
      <c r="L34" s="5"/>
    </row>
    <row r="35" spans="2:12">
      <c r="B35" s="25" t="s">
        <v>53</v>
      </c>
      <c r="C35" s="27"/>
      <c r="D35" s="27">
        <f>IF(D33/C33-1&gt;100%,"N.A.",IF(D33/C33-1&lt;-100%,"N.A.",D33/C33-1))</f>
        <v>0.58265848670756593</v>
      </c>
      <c r="E35" s="27">
        <f>IF(E33/D33-1&gt;100%,"N.A.",IF(E33/D33-1&lt;-100%,"N.A.",E33/D33-1))</f>
        <v>0.1209944180277025</v>
      </c>
      <c r="F35" s="27">
        <f>IF(F33/E33-1&gt;100%,"N.A.",IF(F33/E33-1&lt;-100%,"N.A.",F33/E33-1))</f>
        <v>0.25595785882244582</v>
      </c>
      <c r="G35" s="23"/>
      <c r="H35" s="1" t="s">
        <v>28</v>
      </c>
      <c r="I35" s="48">
        <v>0</v>
      </c>
      <c r="J35" s="5">
        <v>509.9</v>
      </c>
      <c r="K35" s="5">
        <v>703.9</v>
      </c>
      <c r="L35" s="5">
        <v>475.601</v>
      </c>
    </row>
    <row r="36" spans="2:12">
      <c r="B36" s="25" t="s">
        <v>62</v>
      </c>
      <c r="C36" s="27"/>
      <c r="D36" s="27"/>
      <c r="E36" s="27">
        <f>IF((E33/C33)^(1/3)-1&lt;-100%,"N.A.",IF((E33/C33)^(1/3)-1&gt;100%,"N.A.",((E33/C33)^(1/3)-1)))</f>
        <v>0.21058945603999368</v>
      </c>
      <c r="F36" s="27">
        <f>IF((F33/C33)^(1/3)-1&lt;-100%,"N.A.",IF((F33/C33)^(1/3)-1&gt;100%,"N.A.",((F33/C33)^(1/3)-1)))</f>
        <v>0.3061365308242403</v>
      </c>
      <c r="G36" s="23"/>
      <c r="H36" s="1" t="s">
        <v>26</v>
      </c>
      <c r="I36" s="5">
        <v>3766.6</v>
      </c>
      <c r="J36" s="5">
        <v>4501</v>
      </c>
      <c r="K36" s="5">
        <v>5193.3999999999996</v>
      </c>
      <c r="L36" s="5">
        <v>5754.0469999999996</v>
      </c>
    </row>
    <row r="37" spans="2:12">
      <c r="B37" s="1" t="s">
        <v>76</v>
      </c>
      <c r="C37" s="5"/>
      <c r="D37" s="5"/>
      <c r="E37" s="5"/>
      <c r="F37" s="54"/>
      <c r="G37" s="23"/>
      <c r="H37" s="1" t="s">
        <v>27</v>
      </c>
      <c r="I37" s="5">
        <v>832.7</v>
      </c>
      <c r="J37" s="5">
        <v>121.2</v>
      </c>
      <c r="K37" s="5">
        <v>236.3</v>
      </c>
      <c r="L37" s="5">
        <v>67.337000000000003</v>
      </c>
    </row>
    <row r="38" spans="2:12">
      <c r="B38" s="1" t="s">
        <v>123</v>
      </c>
      <c r="C38" s="5">
        <v>70.7</v>
      </c>
      <c r="D38" s="5">
        <v>-34.5</v>
      </c>
      <c r="E38" s="5">
        <v>-4.5</v>
      </c>
      <c r="F38" s="54">
        <v>-97.572999999999993</v>
      </c>
      <c r="G38" s="23"/>
      <c r="H38" s="1" t="s">
        <v>29</v>
      </c>
      <c r="I38" s="48">
        <v>0</v>
      </c>
      <c r="J38" s="5">
        <v>0.7</v>
      </c>
      <c r="K38" s="5">
        <v>4.3</v>
      </c>
      <c r="L38" s="5">
        <v>19.119</v>
      </c>
    </row>
    <row r="39" spans="2:12">
      <c r="B39" s="1" t="s">
        <v>124</v>
      </c>
      <c r="C39" s="40">
        <v>0</v>
      </c>
      <c r="D39" s="40">
        <v>0</v>
      </c>
      <c r="E39" s="40">
        <v>0</v>
      </c>
      <c r="F39" s="62" t="s">
        <v>138</v>
      </c>
      <c r="G39" s="23"/>
      <c r="H39" s="1" t="s">
        <v>30</v>
      </c>
      <c r="I39" s="5">
        <v>61.4</v>
      </c>
      <c r="J39" s="5">
        <v>12.5</v>
      </c>
      <c r="K39" s="5">
        <v>12.5</v>
      </c>
      <c r="L39" s="5">
        <v>10.144</v>
      </c>
    </row>
    <row r="40" spans="2:12">
      <c r="B40" s="7" t="s">
        <v>77</v>
      </c>
      <c r="C40" s="5">
        <f>SUM(C37:C39)</f>
        <v>70.7</v>
      </c>
      <c r="D40" s="5">
        <f>SUM(D37:D39)</f>
        <v>-34.5</v>
      </c>
      <c r="E40" s="5">
        <f>SUM(E37:E39)</f>
        <v>-4.5</v>
      </c>
      <c r="F40" s="54">
        <f>SUM(F37:F39)</f>
        <v>-97.572999999999993</v>
      </c>
      <c r="G40" s="23"/>
      <c r="H40" s="1" t="s">
        <v>31</v>
      </c>
      <c r="I40" s="5">
        <v>770.2</v>
      </c>
      <c r="J40" s="5">
        <v>50.9</v>
      </c>
      <c r="K40" s="5">
        <v>62.8</v>
      </c>
      <c r="L40" s="5">
        <v>51.4</v>
      </c>
    </row>
    <row r="41" spans="2:12">
      <c r="B41" s="1"/>
      <c r="C41" s="1"/>
      <c r="D41" s="1"/>
      <c r="E41" s="1"/>
      <c r="F41" s="63"/>
      <c r="G41" s="23"/>
      <c r="H41" s="1" t="s">
        <v>32</v>
      </c>
      <c r="I41" s="5">
        <v>96.1</v>
      </c>
      <c r="J41" s="5">
        <v>413.4</v>
      </c>
      <c r="K41" s="5">
        <v>34.427999999999997</v>
      </c>
      <c r="L41" s="5" t="s">
        <v>138</v>
      </c>
    </row>
    <row r="42" spans="2:12">
      <c r="B42" s="9" t="s">
        <v>78</v>
      </c>
      <c r="C42" s="35">
        <f>C33+C40</f>
        <v>1293.2</v>
      </c>
      <c r="D42" s="35">
        <f>D33+D40</f>
        <v>1900.2999999999993</v>
      </c>
      <c r="E42" s="35">
        <f>E33+E40</f>
        <v>2164.3999999999978</v>
      </c>
      <c r="F42" s="56">
        <f>F33+F40</f>
        <v>2626.4740000000002</v>
      </c>
      <c r="G42" s="23"/>
      <c r="H42" s="1" t="s">
        <v>129</v>
      </c>
      <c r="I42" s="5"/>
      <c r="J42" s="5"/>
      <c r="K42" s="5">
        <v>780</v>
      </c>
      <c r="L42" s="5">
        <v>968.22900000000004</v>
      </c>
    </row>
    <row r="43" spans="2:12">
      <c r="B43" s="25" t="s">
        <v>53</v>
      </c>
      <c r="C43" s="27"/>
      <c r="D43" s="27">
        <f>IF(D42/C42-1&gt;100%,"N.A.",IF(D42/C42-1&lt;-100%,"N.A.",(D42/C42-1)))</f>
        <v>0.46945561398082214</v>
      </c>
      <c r="E43" s="27">
        <f>IF(E42/D42-1&gt;100%,"N.A.",IF(E42/D42-1&lt;-100%,"N.A.",(E42/D42-1)))</f>
        <v>0.13897805609640512</v>
      </c>
      <c r="F43" s="27">
        <f>IF(F42/E42-1&gt;100%,"N.A.",IF(F42/E42-1&lt;-100%,"N.A.",(F42/E42-1)))</f>
        <v>0.2134882646460925</v>
      </c>
      <c r="G43" s="23"/>
      <c r="H43" s="9" t="s">
        <v>33</v>
      </c>
      <c r="I43" s="35">
        <f>SUM(I33:I42)</f>
        <v>10281.500000000002</v>
      </c>
      <c r="J43" s="35">
        <f>SUM(J33:J42)</f>
        <v>11630</v>
      </c>
      <c r="K43" s="35">
        <f>SUM(K33:K42)</f>
        <v>13456.227999999997</v>
      </c>
      <c r="L43" s="35">
        <f>SUM(L33:L42)</f>
        <v>13221.670999999998</v>
      </c>
    </row>
    <row r="44" spans="2:12">
      <c r="B44" s="25" t="s">
        <v>62</v>
      </c>
      <c r="C44" s="27"/>
      <c r="D44" s="27"/>
      <c r="E44" s="27">
        <f>IF((E42/C42)^(1/3)-1&lt;-100%,"N.A.",IF((E42/C42)^(1/3)-1&gt;100%,"N.A.",((E42/C42)^(1/3)-1)))</f>
        <v>0.18729127529592016</v>
      </c>
      <c r="F44" s="27">
        <f>IF((F42/C42)^(1/3)-1&lt;-100%,"N.A.",IF((F42/D42)^(1/3)-1&gt;100%,"N.A.",((F42/D42)^(1/3)-1)))</f>
        <v>0.11391053799141693</v>
      </c>
      <c r="G44" s="23"/>
      <c r="H44" s="7" t="s">
        <v>34</v>
      </c>
      <c r="I44" s="5"/>
      <c r="J44" s="5"/>
      <c r="K44" s="5"/>
      <c r="L44" s="5"/>
    </row>
    <row r="45" spans="2:12">
      <c r="B45" s="1" t="s">
        <v>81</v>
      </c>
      <c r="C45" s="5"/>
      <c r="D45" s="5"/>
      <c r="E45" s="5"/>
      <c r="F45" s="54"/>
      <c r="G45" s="23"/>
      <c r="H45" s="1" t="s">
        <v>35</v>
      </c>
      <c r="I45" s="5"/>
      <c r="J45" s="5"/>
      <c r="K45" s="5"/>
      <c r="L45" s="5"/>
    </row>
    <row r="46" spans="2:12">
      <c r="B46" s="3" t="s">
        <v>79</v>
      </c>
      <c r="C46" s="41">
        <v>13.49</v>
      </c>
      <c r="D46" s="41">
        <v>21.35</v>
      </c>
      <c r="E46" s="41">
        <v>23.93</v>
      </c>
      <c r="F46" s="67">
        <v>30.06</v>
      </c>
      <c r="G46" s="23"/>
      <c r="H46" s="1" t="s">
        <v>36</v>
      </c>
      <c r="I46" s="5">
        <f>I10</f>
        <v>5.5</v>
      </c>
      <c r="J46" s="5">
        <f>J10</f>
        <v>1.8</v>
      </c>
      <c r="K46" s="5">
        <f>K10</f>
        <v>0.4</v>
      </c>
      <c r="L46" s="5">
        <v>1035.556</v>
      </c>
    </row>
    <row r="47" spans="2:12">
      <c r="B47" s="3" t="s">
        <v>80</v>
      </c>
      <c r="C47" s="41">
        <v>13.49</v>
      </c>
      <c r="D47" s="41">
        <v>21.35</v>
      </c>
      <c r="E47" s="41">
        <v>23.93</v>
      </c>
      <c r="F47" s="67">
        <v>30.04</v>
      </c>
      <c r="G47" s="23"/>
      <c r="H47" s="1" t="s">
        <v>125</v>
      </c>
      <c r="I47" s="5">
        <v>15.3</v>
      </c>
      <c r="J47" s="5">
        <v>5.3</v>
      </c>
      <c r="K47" s="5">
        <v>166.6</v>
      </c>
      <c r="L47" s="5">
        <v>116.68899999999999</v>
      </c>
    </row>
    <row r="48" spans="2:12">
      <c r="B48" s="25" t="s">
        <v>53</v>
      </c>
      <c r="C48" s="27"/>
      <c r="D48" s="27">
        <f>IF(D47/C47-1&gt;100%,"N.A.",IF(D47/C47-1&lt;-100%,"N.A.",(D47/C47-1)))</f>
        <v>0.5826538176426983</v>
      </c>
      <c r="E48" s="27">
        <f>IF(E47/D47-1&gt;100%,"N.A.",IF(E47/D47-1&lt;-100%,"N.A.",(E47/D47-1)))</f>
        <v>0.12084309133489457</v>
      </c>
      <c r="F48" s="27">
        <f>IF(F47/E47-1&gt;100%,"N.A.",IF(F47/E47-1&lt;-100%,"N.A.",(F47/E47-1)))</f>
        <v>0.25532804011700794</v>
      </c>
      <c r="G48" s="23"/>
      <c r="H48" s="1" t="s">
        <v>126</v>
      </c>
      <c r="I48" s="44">
        <v>0</v>
      </c>
      <c r="J48" s="44">
        <v>0</v>
      </c>
      <c r="K48" s="44">
        <v>0</v>
      </c>
      <c r="L48" s="44">
        <v>0</v>
      </c>
    </row>
    <row r="49" spans="2:12">
      <c r="B49" s="25" t="s">
        <v>62</v>
      </c>
      <c r="C49" s="27"/>
      <c r="D49" s="27"/>
      <c r="E49" s="27">
        <f>IF((E47/C47)^(1/3)-1&lt;-100%,"N.A.",IF((E47/C47)^(1/3)-1&gt;100%,"N.A.",((E47/C47)^(1/3)-1)))</f>
        <v>0.21053378936495193</v>
      </c>
      <c r="F49" s="27">
        <f>IF((F47/C47)^(1/3)-1&lt;-100%,"N.A.",IF((F47/C47)^(1/3)-1&gt;100%,"N.A.",((F47/C47)^(1/3)-1)))</f>
        <v>0.30585811695170184</v>
      </c>
      <c r="G49" s="23"/>
      <c r="H49" s="1" t="s">
        <v>37</v>
      </c>
      <c r="I49" s="44">
        <v>0</v>
      </c>
      <c r="J49" s="5">
        <v>53.6</v>
      </c>
      <c r="K49" s="44">
        <v>60.6</v>
      </c>
      <c r="L49" s="44">
        <v>81.177999999999997</v>
      </c>
    </row>
    <row r="50" spans="2:12">
      <c r="E50" s="8"/>
      <c r="F50" s="64"/>
      <c r="G50" s="23"/>
      <c r="H50" s="1" t="s">
        <v>38</v>
      </c>
      <c r="I50" s="5">
        <v>706.7</v>
      </c>
      <c r="J50" s="5">
        <v>788.4</v>
      </c>
      <c r="K50" s="44">
        <v>1079.2</v>
      </c>
      <c r="L50" s="44">
        <v>1284.0409999999999</v>
      </c>
    </row>
    <row r="51" spans="2:12">
      <c r="B51" s="17" t="s">
        <v>92</v>
      </c>
      <c r="C51" s="15" t="s">
        <v>1</v>
      </c>
      <c r="D51" s="15" t="s">
        <v>2</v>
      </c>
      <c r="E51" s="15" t="s">
        <v>131</v>
      </c>
      <c r="F51" s="15" t="s">
        <v>139</v>
      </c>
      <c r="G51" s="23"/>
      <c r="H51" s="1" t="s">
        <v>140</v>
      </c>
      <c r="I51" s="44">
        <v>0</v>
      </c>
      <c r="J51" s="44">
        <v>0</v>
      </c>
      <c r="K51" s="44">
        <v>0</v>
      </c>
      <c r="L51" s="44">
        <v>77.027000000000001</v>
      </c>
    </row>
    <row r="52" spans="2:12">
      <c r="B52" s="7" t="s">
        <v>86</v>
      </c>
      <c r="C52" s="42">
        <v>53.3</v>
      </c>
      <c r="D52" s="42">
        <f>C57</f>
        <v>832.7</v>
      </c>
      <c r="E52" s="42">
        <f>D57</f>
        <v>121.29999999999995</v>
      </c>
      <c r="F52" s="42">
        <f>E57</f>
        <v>236.40000000000003</v>
      </c>
      <c r="G52" s="23"/>
      <c r="H52" s="9" t="s">
        <v>39</v>
      </c>
      <c r="I52" s="35">
        <f>SUM(I46:I51)</f>
        <v>727.5</v>
      </c>
      <c r="J52" s="35">
        <f>SUM(J46:J51)</f>
        <v>849.1</v>
      </c>
      <c r="K52" s="35">
        <f>SUM(K46:K51)</f>
        <v>1306.8</v>
      </c>
      <c r="L52" s="35">
        <f>SUM(L46:L51)</f>
        <v>2594.491</v>
      </c>
    </row>
    <row r="53" spans="2:12">
      <c r="B53" s="3" t="s">
        <v>82</v>
      </c>
      <c r="C53" s="42">
        <v>-437</v>
      </c>
      <c r="D53" s="42">
        <v>2501.1999999999998</v>
      </c>
      <c r="E53" s="42">
        <v>2163.6</v>
      </c>
      <c r="F53" s="42">
        <v>3315.6149999999998</v>
      </c>
      <c r="G53" s="23"/>
      <c r="H53" s="7" t="s">
        <v>40</v>
      </c>
      <c r="I53" s="5"/>
      <c r="J53" s="5"/>
      <c r="K53" s="5"/>
      <c r="L53" s="5"/>
    </row>
    <row r="54" spans="2:12">
      <c r="B54" s="3" t="s">
        <v>83</v>
      </c>
      <c r="C54" s="42">
        <v>-1387.4</v>
      </c>
      <c r="D54" s="42">
        <v>-1578</v>
      </c>
      <c r="E54" s="42">
        <v>-2145.6999999999998</v>
      </c>
      <c r="F54" s="42">
        <v>-4138.9769999999999</v>
      </c>
      <c r="G54" s="23"/>
      <c r="H54" s="1" t="s">
        <v>35</v>
      </c>
      <c r="I54" s="5"/>
      <c r="J54" s="5"/>
      <c r="K54" s="5"/>
      <c r="L54" s="5"/>
    </row>
    <row r="55" spans="2:12">
      <c r="B55" s="3" t="s">
        <v>84</v>
      </c>
      <c r="C55" s="42">
        <v>2603.8000000000002</v>
      </c>
      <c r="D55" s="42">
        <v>-1634.6</v>
      </c>
      <c r="E55" s="42">
        <v>97.2</v>
      </c>
      <c r="F55" s="42">
        <v>654.35</v>
      </c>
      <c r="G55" s="23"/>
      <c r="H55" s="1" t="s">
        <v>36</v>
      </c>
      <c r="I55" s="5">
        <f>I11</f>
        <v>3377.3</v>
      </c>
      <c r="J55" s="5">
        <f>J11</f>
        <v>2141.5</v>
      </c>
      <c r="K55" s="5">
        <f>K11</f>
        <v>2640.6</v>
      </c>
      <c r="L55" s="5">
        <v>2927.9670000000001</v>
      </c>
    </row>
    <row r="56" spans="2:12">
      <c r="B56" s="31" t="s">
        <v>87</v>
      </c>
      <c r="C56" s="34">
        <f t="shared" ref="C56:E56" si="5">SUM(C53:C55)</f>
        <v>779.40000000000009</v>
      </c>
      <c r="D56" s="34">
        <f>SUM(D53:D55)</f>
        <v>-711.40000000000009</v>
      </c>
      <c r="E56" s="34">
        <f t="shared" si="5"/>
        <v>115.10000000000009</v>
      </c>
      <c r="F56" s="34">
        <f>SUM(F53:F55)</f>
        <v>-169.01200000000006</v>
      </c>
      <c r="G56" s="23"/>
      <c r="H56" s="1" t="s">
        <v>125</v>
      </c>
      <c r="I56" s="44">
        <v>0</v>
      </c>
      <c r="J56" s="44">
        <v>4.4000000000000004</v>
      </c>
      <c r="K56" s="5">
        <v>44.9</v>
      </c>
      <c r="L56" s="5">
        <v>50.94</v>
      </c>
    </row>
    <row r="57" spans="2:12">
      <c r="B57" s="16" t="s">
        <v>85</v>
      </c>
      <c r="C57" s="36">
        <f t="shared" ref="C57:E57" si="6">C52+C56</f>
        <v>832.7</v>
      </c>
      <c r="D57" s="36">
        <f t="shared" si="6"/>
        <v>121.29999999999995</v>
      </c>
      <c r="E57" s="36">
        <f t="shared" si="6"/>
        <v>236.40000000000003</v>
      </c>
      <c r="F57" s="36">
        <f>F52+F56</f>
        <v>67.387999999999977</v>
      </c>
      <c r="G57" s="23"/>
      <c r="H57" s="1" t="s">
        <v>130</v>
      </c>
      <c r="I57" s="49">
        <f>SUM(I58:I59)</f>
        <v>2145.8000000000002</v>
      </c>
      <c r="J57" s="49">
        <f>SUM(J58:J59)</f>
        <v>3395</v>
      </c>
      <c r="K57" s="49">
        <f>SUM(K58:K59)</f>
        <v>3783.2</v>
      </c>
      <c r="L57" s="49">
        <f>SUM(L58:L59)</f>
        <v>2778.3040000000001</v>
      </c>
    </row>
    <row r="58" spans="2:12">
      <c r="G58" s="23"/>
      <c r="H58" s="1" t="s">
        <v>127</v>
      </c>
      <c r="I58" s="5">
        <v>211.4</v>
      </c>
      <c r="J58" s="5">
        <v>126.5</v>
      </c>
      <c r="K58" s="5">
        <v>189</v>
      </c>
      <c r="L58" s="5">
        <v>115.206</v>
      </c>
    </row>
    <row r="59" spans="2:12">
      <c r="B59" s="17" t="s">
        <v>91</v>
      </c>
      <c r="C59" s="18" t="s">
        <v>1</v>
      </c>
      <c r="D59" s="15" t="s">
        <v>2</v>
      </c>
      <c r="E59" s="15" t="s">
        <v>131</v>
      </c>
      <c r="F59" s="15" t="s">
        <v>139</v>
      </c>
      <c r="G59" s="23"/>
      <c r="H59" s="1" t="s">
        <v>128</v>
      </c>
      <c r="I59" s="5">
        <v>1934.4</v>
      </c>
      <c r="J59" s="5">
        <v>3268.5</v>
      </c>
      <c r="K59" s="5">
        <v>3594.2</v>
      </c>
      <c r="L59" s="5">
        <v>2663.098</v>
      </c>
    </row>
    <row r="60" spans="2:12">
      <c r="B60" s="1" t="s">
        <v>88</v>
      </c>
      <c r="C60" s="43">
        <f>C53</f>
        <v>-437</v>
      </c>
      <c r="D60" s="43">
        <f t="shared" ref="D60" si="7">D53</f>
        <v>2501.1999999999998</v>
      </c>
      <c r="E60" s="43">
        <f>E53</f>
        <v>2163.6</v>
      </c>
      <c r="F60" s="43">
        <f>F53</f>
        <v>3315.6149999999998</v>
      </c>
      <c r="G60" s="23"/>
      <c r="H60" s="1" t="s">
        <v>51</v>
      </c>
      <c r="I60" s="5">
        <v>118.9</v>
      </c>
      <c r="J60" s="5">
        <v>247.1</v>
      </c>
      <c r="K60" s="5">
        <v>302</v>
      </c>
      <c r="L60" s="5">
        <v>513.447</v>
      </c>
    </row>
    <row r="61" spans="2:12">
      <c r="B61" s="19" t="s">
        <v>89</v>
      </c>
      <c r="C61" s="43"/>
      <c r="D61" s="43">
        <f>J19-I19+D18</f>
        <v>2067.4</v>
      </c>
      <c r="E61" s="43">
        <f>K19-J19+E18</f>
        <v>1447.2000000000012</v>
      </c>
      <c r="F61" s="43">
        <f>L19-K19+F18</f>
        <v>1813.7119999999986</v>
      </c>
      <c r="G61" s="23"/>
      <c r="H61" s="1" t="s">
        <v>41</v>
      </c>
      <c r="I61" s="5"/>
      <c r="J61" s="5">
        <v>128</v>
      </c>
      <c r="K61" s="5">
        <v>110</v>
      </c>
      <c r="L61" s="5">
        <v>171.00700000000001</v>
      </c>
    </row>
    <row r="62" spans="2:12">
      <c r="B62" s="2" t="s">
        <v>90</v>
      </c>
      <c r="C62" s="37">
        <f>C60-C61</f>
        <v>-437</v>
      </c>
      <c r="D62" s="37">
        <f>D60-D61</f>
        <v>433.79999999999973</v>
      </c>
      <c r="E62" s="37">
        <f>E60-E61</f>
        <v>716.39999999999873</v>
      </c>
      <c r="F62" s="37">
        <f>F60-F61</f>
        <v>1501.9030000000012</v>
      </c>
      <c r="G62" s="23"/>
      <c r="H62" s="1" t="s">
        <v>42</v>
      </c>
      <c r="I62" s="5">
        <v>89.6</v>
      </c>
      <c r="J62" s="5">
        <v>55</v>
      </c>
      <c r="K62" s="5">
        <v>63.1</v>
      </c>
      <c r="L62" s="5">
        <v>117.383</v>
      </c>
    </row>
    <row r="63" spans="2:12">
      <c r="F63" s="65"/>
      <c r="G63" s="23"/>
      <c r="H63" s="1" t="s">
        <v>141</v>
      </c>
      <c r="I63" s="5">
        <v>75</v>
      </c>
      <c r="J63" s="48">
        <v>35.200000000000003</v>
      </c>
      <c r="K63" s="48">
        <v>0</v>
      </c>
      <c r="L63" s="48">
        <v>11.449</v>
      </c>
    </row>
    <row r="64" spans="2:12">
      <c r="B64" s="17" t="s">
        <v>110</v>
      </c>
      <c r="C64" s="15" t="s">
        <v>1</v>
      </c>
      <c r="D64" s="15" t="s">
        <v>2</v>
      </c>
      <c r="E64" s="15" t="s">
        <v>131</v>
      </c>
      <c r="F64" s="66" t="s">
        <v>139</v>
      </c>
      <c r="G64" s="23"/>
      <c r="H64" s="9" t="s">
        <v>43</v>
      </c>
      <c r="I64" s="35">
        <f>SUM(I58:I63)+I55</f>
        <v>5806.6</v>
      </c>
      <c r="J64" s="35">
        <f>SUM(J58:J63)+J55+J56</f>
        <v>6006.1999999999989</v>
      </c>
      <c r="K64" s="35">
        <f>SUM(K58:K63)+K55+K56</f>
        <v>6943.7999999999993</v>
      </c>
      <c r="L64" s="35">
        <f>SUM(L58:L63)+L55+L56</f>
        <v>6570.4970000000003</v>
      </c>
    </row>
    <row r="65" spans="2:13">
      <c r="B65" s="1" t="s">
        <v>134</v>
      </c>
      <c r="C65" s="44">
        <v>0</v>
      </c>
      <c r="D65" s="45">
        <f>90626008/1000000</f>
        <v>90.626007999999999</v>
      </c>
      <c r="E65" s="45">
        <f>90626008/1000000</f>
        <v>90.626007999999999</v>
      </c>
      <c r="F65" s="45">
        <f>90634624/1000000</f>
        <v>90.634624000000002</v>
      </c>
      <c r="G65" s="23"/>
      <c r="H65" s="1"/>
      <c r="I65" s="5"/>
      <c r="J65" s="5"/>
      <c r="K65" s="5"/>
      <c r="L65" s="5"/>
    </row>
    <row r="66" spans="2:13">
      <c r="B66" s="1" t="s">
        <v>135</v>
      </c>
      <c r="C66" s="44">
        <v>0</v>
      </c>
      <c r="D66" s="46">
        <v>5</v>
      </c>
      <c r="E66" s="1">
        <v>5</v>
      </c>
      <c r="F66" s="1">
        <v>5</v>
      </c>
      <c r="G66" s="23"/>
      <c r="H66" s="9" t="s">
        <v>44</v>
      </c>
      <c r="I66" s="35">
        <f>I43-I64</f>
        <v>4474.9000000000015</v>
      </c>
      <c r="J66" s="35">
        <f>J43-J64</f>
        <v>5623.8000000000011</v>
      </c>
      <c r="K66" s="35">
        <f>K43-K64</f>
        <v>6512.4279999999981</v>
      </c>
      <c r="L66" s="35">
        <f>L43-L64</f>
        <v>6651.1739999999982</v>
      </c>
    </row>
    <row r="67" spans="2:13">
      <c r="B67" s="19" t="s">
        <v>136</v>
      </c>
      <c r="C67" s="44">
        <v>0</v>
      </c>
      <c r="D67" s="47">
        <f>J73*D65</f>
        <v>24890.433097199999</v>
      </c>
      <c r="E67" s="47">
        <f>K73*E65</f>
        <v>39422.313479999997</v>
      </c>
      <c r="F67" s="47">
        <f>L73*F65</f>
        <v>67844.547795199993</v>
      </c>
      <c r="G67" s="23"/>
      <c r="H67" s="1"/>
      <c r="I67" s="5"/>
      <c r="J67" s="5"/>
      <c r="K67" s="5"/>
      <c r="L67" s="5"/>
    </row>
    <row r="68" spans="2:13">
      <c r="B68" s="19" t="s">
        <v>93</v>
      </c>
      <c r="C68" s="43">
        <f>I12</f>
        <v>3382.8</v>
      </c>
      <c r="D68" s="43">
        <f t="shared" ref="D68" si="8">J12</f>
        <v>2143.3000000000002</v>
      </c>
      <c r="E68" s="43">
        <f>K12</f>
        <v>2641</v>
      </c>
      <c r="F68" s="43">
        <f>L12</f>
        <v>3963.5230000000001</v>
      </c>
      <c r="G68" s="23"/>
      <c r="H68" s="9" t="s">
        <v>45</v>
      </c>
      <c r="I68" s="39">
        <f>I43+I30</f>
        <v>20399.099999999999</v>
      </c>
      <c r="J68" s="39">
        <f>J43+J30</f>
        <v>22440.1</v>
      </c>
      <c r="K68" s="39">
        <f>K43+K30</f>
        <v>25820.827999999998</v>
      </c>
      <c r="L68" s="39">
        <f>L43+L30</f>
        <v>29064.050999999999</v>
      </c>
    </row>
    <row r="69" spans="2:13">
      <c r="B69" s="19" t="s">
        <v>94</v>
      </c>
      <c r="C69" s="43">
        <f>I37+I38</f>
        <v>832.7</v>
      </c>
      <c r="D69" s="43">
        <f>J37+J38</f>
        <v>121.9</v>
      </c>
      <c r="E69" s="43">
        <f>K37+K38</f>
        <v>240.60000000000002</v>
      </c>
      <c r="F69" s="43">
        <f>L37+L38</f>
        <v>86.456000000000003</v>
      </c>
      <c r="G69" s="23"/>
      <c r="H69" s="9" t="s">
        <v>46</v>
      </c>
      <c r="I69" s="39">
        <f>I52+I64</f>
        <v>6534.1</v>
      </c>
      <c r="J69" s="39">
        <f>J52+J64</f>
        <v>6855.2999999999993</v>
      </c>
      <c r="K69" s="39">
        <f>K52+K64</f>
        <v>8250.5999999999985</v>
      </c>
      <c r="L69" s="39">
        <f>L52+L64</f>
        <v>9164.9880000000012</v>
      </c>
    </row>
    <row r="70" spans="2:13">
      <c r="B70" s="2" t="s">
        <v>95</v>
      </c>
      <c r="C70" s="38">
        <f>SUM(C67:C68)-C69</f>
        <v>2550.1000000000004</v>
      </c>
      <c r="D70" s="38">
        <f>SUM(D67:D68)-D69</f>
        <v>26911.833097199997</v>
      </c>
      <c r="E70" s="38">
        <f>SUM(E67:E68)-E69</f>
        <v>41822.713479999999</v>
      </c>
      <c r="F70" s="38">
        <f>SUM(F67:F68)-F69</f>
        <v>71721.614795199988</v>
      </c>
      <c r="G70" s="23"/>
      <c r="H70" s="9" t="s">
        <v>47</v>
      </c>
      <c r="I70" s="35">
        <f>I69+I7</f>
        <v>20398.900000000001</v>
      </c>
      <c r="J70" s="35">
        <f>J69+J7</f>
        <v>22440.1</v>
      </c>
      <c r="K70" s="35">
        <f>K69+K7</f>
        <v>25820.999999999996</v>
      </c>
      <c r="L70" s="35">
        <f>L69+L7</f>
        <v>29064.052</v>
      </c>
    </row>
    <row r="71" spans="2:13">
      <c r="G71" s="23"/>
      <c r="I71" s="8"/>
      <c r="J71" s="8"/>
      <c r="K71" s="8"/>
    </row>
    <row r="72" spans="2:13">
      <c r="G72" s="23"/>
      <c r="H72" s="17" t="s">
        <v>116</v>
      </c>
      <c r="I72" s="15" t="s">
        <v>1</v>
      </c>
      <c r="J72" s="15" t="s">
        <v>2</v>
      </c>
      <c r="K72" s="15" t="s">
        <v>131</v>
      </c>
      <c r="L72" s="15" t="s">
        <v>139</v>
      </c>
    </row>
    <row r="73" spans="2:13">
      <c r="G73" s="23"/>
      <c r="H73" s="1" t="s">
        <v>114</v>
      </c>
      <c r="I73" s="33"/>
      <c r="J73" s="33">
        <v>274.64999999999998</v>
      </c>
      <c r="K73" s="33">
        <v>435</v>
      </c>
      <c r="L73" s="33">
        <v>748.55</v>
      </c>
    </row>
    <row r="74" spans="2:13">
      <c r="G74" s="23"/>
      <c r="H74" s="24" t="s">
        <v>113</v>
      </c>
      <c r="I74" s="33">
        <f>C47</f>
        <v>13.49</v>
      </c>
      <c r="J74" s="33">
        <f t="shared" ref="J74:L74" si="9">D47</f>
        <v>21.35</v>
      </c>
      <c r="K74" s="33">
        <f t="shared" si="9"/>
        <v>23.93</v>
      </c>
      <c r="L74" s="33">
        <f>F47</f>
        <v>30.04</v>
      </c>
    </row>
    <row r="75" spans="2:13">
      <c r="G75" s="23"/>
      <c r="H75" s="24" t="s">
        <v>111</v>
      </c>
      <c r="I75" s="33">
        <v>0</v>
      </c>
      <c r="J75" s="33">
        <f>J8/D65</f>
        <v>171.96829413472565</v>
      </c>
      <c r="K75" s="33">
        <f>K8/E65</f>
        <v>193.878119402545</v>
      </c>
      <c r="L75" s="33">
        <f>L8/F65</f>
        <v>219.55256304698742</v>
      </c>
      <c r="M75" s="21"/>
    </row>
    <row r="76" spans="2:13">
      <c r="G76" s="23"/>
      <c r="H76" s="24" t="s">
        <v>112</v>
      </c>
      <c r="I76" s="33">
        <v>0</v>
      </c>
      <c r="J76" s="33">
        <v>0</v>
      </c>
      <c r="K76" s="40">
        <v>2</v>
      </c>
      <c r="L76" s="40">
        <v>2.5</v>
      </c>
      <c r="M76" s="21"/>
    </row>
    <row r="77" spans="2:13">
      <c r="G77" s="23"/>
      <c r="H77" s="24" t="s">
        <v>96</v>
      </c>
      <c r="I77" s="33">
        <f>I73/I74</f>
        <v>0</v>
      </c>
      <c r="J77" s="33">
        <f>J73/J74</f>
        <v>12.864168618266977</v>
      </c>
      <c r="K77" s="33">
        <f>K73/K74</f>
        <v>18.178019222732971</v>
      </c>
      <c r="L77" s="33">
        <f>L73/L74</f>
        <v>24.91844207723036</v>
      </c>
      <c r="M77" s="55"/>
    </row>
    <row r="78" spans="2:13">
      <c r="G78" s="23"/>
      <c r="H78" s="24" t="s">
        <v>97</v>
      </c>
      <c r="I78" s="33">
        <v>0</v>
      </c>
      <c r="J78" s="33">
        <f>J73/J75</f>
        <v>1.5970967286843589</v>
      </c>
      <c r="K78" s="53">
        <f>K73/K75</f>
        <v>2.2436776328370445</v>
      </c>
      <c r="L78" s="53">
        <f>L73/L75</f>
        <v>3.4094341218863358</v>
      </c>
      <c r="M78" s="20"/>
    </row>
    <row r="79" spans="2:13">
      <c r="G79" s="23"/>
      <c r="H79" s="24" t="s">
        <v>98</v>
      </c>
      <c r="I79" s="33">
        <f>C70/C13</f>
        <v>1.2322300072481278</v>
      </c>
      <c r="J79" s="33">
        <f>D70/D13</f>
        <v>7.8680368077417846</v>
      </c>
      <c r="K79" s="33">
        <f>E70/E13</f>
        <v>10.833777194073159</v>
      </c>
      <c r="L79" s="33">
        <f>F70/F13</f>
        <v>15.444908612905287</v>
      </c>
      <c r="M79" s="21"/>
    </row>
    <row r="80" spans="2:13">
      <c r="G80" s="23"/>
      <c r="H80" s="24" t="s">
        <v>115</v>
      </c>
      <c r="I80" s="33">
        <v>0</v>
      </c>
      <c r="J80" s="33">
        <f>D5/AVERAGE(I70:J70)</f>
        <v>0.90815845374541881</v>
      </c>
      <c r="K80" s="33">
        <f>E5/AVERAGE(J70:K70)</f>
        <v>0.76774462248063147</v>
      </c>
      <c r="L80" s="33">
        <f>F5/AVERAGE(K70:L70)</f>
        <v>0.77072879515537307</v>
      </c>
      <c r="M80" s="21"/>
    </row>
    <row r="81" spans="3:13">
      <c r="C81" t="s">
        <v>137</v>
      </c>
      <c r="G81" s="23"/>
      <c r="H81" s="24" t="s">
        <v>99</v>
      </c>
      <c r="I81" s="50">
        <f>C33/I8</f>
        <v>8.8172927124805262E-2</v>
      </c>
      <c r="J81" s="50">
        <f>D33/J8</f>
        <v>0.12414660438375848</v>
      </c>
      <c r="K81" s="50">
        <f>E33/K8</f>
        <v>0.12344055912215988</v>
      </c>
      <c r="L81" s="50">
        <f>F33/L8</f>
        <v>0.13689322271640517</v>
      </c>
      <c r="M81" s="21"/>
    </row>
    <row r="82" spans="3:13">
      <c r="G82" s="23"/>
      <c r="H82" s="24" t="s">
        <v>100</v>
      </c>
      <c r="I82" s="50">
        <f>(C20+C19)/I14</f>
        <v>9.7022194392263256E-2</v>
      </c>
      <c r="J82" s="50">
        <f>(D20+D19)/J14</f>
        <v>0.15896796611029942</v>
      </c>
      <c r="K82" s="50">
        <f>(E20+E19)/K14</f>
        <v>0.15718851737138437</v>
      </c>
      <c r="L82" s="50">
        <f>(F20+F19)/L14</f>
        <v>0.16242404899351451</v>
      </c>
      <c r="M82" s="21"/>
    </row>
    <row r="83" spans="3:13">
      <c r="G83" s="23"/>
      <c r="H83" s="24" t="s">
        <v>101</v>
      </c>
      <c r="I83" s="33">
        <f>I12/I8</f>
        <v>0.24398476718019732</v>
      </c>
      <c r="J83" s="33">
        <f>J12/J8</f>
        <v>0.1375250243827319</v>
      </c>
      <c r="K83" s="33">
        <f>K12/K8</f>
        <v>0.15030961161954198</v>
      </c>
      <c r="L83" s="33">
        <f>L12/L8</f>
        <v>0.19918137858142476</v>
      </c>
      <c r="M83" s="21"/>
    </row>
    <row r="84" spans="3:13">
      <c r="G84" s="23"/>
      <c r="H84" s="24" t="s">
        <v>102</v>
      </c>
      <c r="I84" s="33">
        <f>(I12 -C69)/I8</f>
        <v>0.18392620160406209</v>
      </c>
      <c r="J84" s="33">
        <f>(J12 -D69)/J8</f>
        <v>0.12970330065191724</v>
      </c>
      <c r="K84" s="33">
        <f>(K12 -E69)/K8</f>
        <v>0.13661612712288851</v>
      </c>
      <c r="L84" s="33">
        <f>(L12 -F69)/L8</f>
        <v>0.19483665161336233</v>
      </c>
      <c r="M84" s="21"/>
    </row>
    <row r="85" spans="3:13">
      <c r="G85" s="23"/>
      <c r="H85" s="24" t="s">
        <v>103</v>
      </c>
      <c r="I85" s="33">
        <v>0</v>
      </c>
      <c r="J85" s="51">
        <f>J76/J73</f>
        <v>0</v>
      </c>
      <c r="K85" s="51">
        <f>K76/K73</f>
        <v>4.5977011494252873E-3</v>
      </c>
      <c r="L85" s="51">
        <f>L76/L73</f>
        <v>3.3397902611715987E-3</v>
      </c>
      <c r="M85" s="21"/>
    </row>
    <row r="86" spans="3:13">
      <c r="G86" s="23"/>
      <c r="H86" s="24" t="s">
        <v>109</v>
      </c>
      <c r="I86" s="52">
        <f>(C20+C19)/C19</f>
        <v>13.991638795986622</v>
      </c>
      <c r="J86" s="52">
        <f>(D20+D19)/D19</f>
        <v>13.388123515439426</v>
      </c>
      <c r="K86" s="52">
        <f>(E20+E19)/E19</f>
        <v>18.460197559558384</v>
      </c>
      <c r="L86" s="52">
        <f>(F20+F19)/F19</f>
        <v>14.410322571050408</v>
      </c>
      <c r="M86" s="21"/>
    </row>
    <row r="87" spans="3:13">
      <c r="G87" s="23"/>
      <c r="H87" s="24" t="s">
        <v>104</v>
      </c>
      <c r="I87" s="33">
        <f>AVERAGE(I36:I36)/C5*365</f>
        <v>114.57314532393286</v>
      </c>
      <c r="J87" s="33">
        <f>AVERAGE(I36:J36)/D5*365</f>
        <v>77.565994766685691</v>
      </c>
      <c r="K87" s="33">
        <f>AVERAGE(J36:K36)/E5*365</f>
        <v>95.499214621533952</v>
      </c>
      <c r="L87" s="33">
        <f>AVERAGE(K36:L36)/F5*365</f>
        <v>94.460458839629538</v>
      </c>
      <c r="M87" s="21"/>
    </row>
    <row r="88" spans="3:13">
      <c r="G88" s="23"/>
      <c r="H88" s="24" t="s">
        <v>105</v>
      </c>
      <c r="I88" s="33">
        <f>(AVERAGE(I57:I57)/(C8+C9+C10)*365)</f>
        <v>108.0135427728207</v>
      </c>
      <c r="J88" s="33">
        <f>(AVERAGE(I57:J57)/(D8+D9+D10)*365)</f>
        <v>86.444740801531935</v>
      </c>
      <c r="K88" s="33">
        <f>(AVERAGE(J57:K57)/(E8+E9+E10)*365)</f>
        <v>128.34288541421742</v>
      </c>
      <c r="L88" s="33">
        <f>(AVERAGE(K57:L57)/(F8+F9+F10)*365)</f>
        <v>106.17061515989104</v>
      </c>
      <c r="M88" s="21"/>
    </row>
    <row r="89" spans="3:13">
      <c r="G89" s="23"/>
      <c r="H89" s="24" t="s">
        <v>106</v>
      </c>
      <c r="I89" s="33">
        <f>AVERAGE(I33:I33)/(C9+C10+C8)*365</f>
        <v>239.32817089820855</v>
      </c>
      <c r="J89" s="33">
        <f>AVERAGE(I33:J33)/(D9+D10+D8)*365</f>
        <v>168.10450434277115</v>
      </c>
      <c r="K89" s="33">
        <f>AVERAGE(J33:K33)/(E9+E10+E8)*365</f>
        <v>222.58234383572378</v>
      </c>
      <c r="L89" s="33">
        <f>AVERAGE(K33:L33)/(F9+F10+F8)*365</f>
        <v>199.09537205946572</v>
      </c>
      <c r="M89" s="21"/>
    </row>
    <row r="90" spans="3:13">
      <c r="G90" s="23"/>
      <c r="H90" s="24" t="s">
        <v>107</v>
      </c>
      <c r="I90" s="33">
        <f>I89+I87-I88</f>
        <v>245.88777344932072</v>
      </c>
      <c r="J90" s="33">
        <f>J89+J87-J88</f>
        <v>159.22575830792491</v>
      </c>
      <c r="K90" s="33">
        <f>K89+K87-K88</f>
        <v>189.73867304304034</v>
      </c>
      <c r="L90" s="33">
        <f>L89+L87-L88</f>
        <v>187.38521573920423</v>
      </c>
      <c r="M90" s="21"/>
    </row>
    <row r="91" spans="3:13">
      <c r="G91" s="23"/>
      <c r="H91" s="24" t="s">
        <v>108</v>
      </c>
      <c r="I91" s="33">
        <f>(I43-I64)*365/C5</f>
        <v>136.11834758404592</v>
      </c>
      <c r="J91" s="33">
        <f>(J43-J64)*365/D5</f>
        <v>105.52412825218615</v>
      </c>
      <c r="K91" s="33">
        <f>(K43-K64)*365/E5</f>
        <v>128.30742681946009</v>
      </c>
      <c r="L91" s="33">
        <f>(L43-L64)*365/F5</f>
        <v>114.77981082935847</v>
      </c>
      <c r="M91" s="21"/>
    </row>
    <row r="92" spans="3:13">
      <c r="G92" s="23"/>
      <c r="L92" s="20"/>
      <c r="M92" s="21"/>
    </row>
    <row r="93" spans="3:13">
      <c r="I93" s="20"/>
      <c r="J93" s="20"/>
      <c r="K93" s="20"/>
      <c r="L93" s="22"/>
    </row>
    <row r="94" spans="3:13">
      <c r="L94" s="20"/>
      <c r="M94" s="20"/>
    </row>
    <row r="109" spans="5:6">
      <c r="E109" s="5"/>
      <c r="F109" s="8"/>
    </row>
    <row r="110" spans="5:6">
      <c r="E110" s="1"/>
    </row>
  </sheetData>
  <mergeCells count="3">
    <mergeCell ref="B3:F3"/>
    <mergeCell ref="H3:L3"/>
    <mergeCell ref="B2:L2"/>
  </mergeCells>
  <pageMargins left="0.7" right="0.7" top="0.75" bottom="0.75" header="0.3" footer="0.3"/>
  <pageSetup scale="63" fitToWidth="0" orientation="portrait" r:id="rId1"/>
  <ignoredErrors>
    <ignoredError sqref="K57 I57:J57 I12:K12 J87 J89:L8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Lenovo</cp:lastModifiedBy>
  <cp:lastPrinted>2023-11-24T05:57:13Z</cp:lastPrinted>
  <dcterms:created xsi:type="dcterms:W3CDTF">2023-11-23T05:15:14Z</dcterms:created>
  <dcterms:modified xsi:type="dcterms:W3CDTF">2025-06-05T07:12:56Z</dcterms:modified>
</cp:coreProperties>
</file>