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Harshit\Llyods\Summary Sheet\Q4-FY25\"/>
    </mc:Choice>
  </mc:AlternateContent>
  <bookViews>
    <workbookView xWindow="0" yWindow="0" windowWidth="20490" windowHeight="7020"/>
  </bookViews>
  <sheets>
    <sheet name="Sheet1" sheetId="1" r:id="rId1"/>
    <sheet name="Sheet5" sheetId="5" state="hidden" r:id="rId2"/>
    <sheet name="Sheet4" sheetId="4" state="hidden" r:id="rId3"/>
    <sheet name="Sheet3" sheetId="3" state="hidden" r:id="rId4"/>
    <sheet name="Sheet2" sheetId="2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" l="1"/>
  <c r="W11" i="1"/>
  <c r="K30" i="1"/>
  <c r="J26" i="1"/>
  <c r="K18" i="1"/>
  <c r="K8" i="1"/>
  <c r="K7" i="1"/>
  <c r="K6" i="1"/>
  <c r="K4" i="1"/>
  <c r="J4" i="1"/>
  <c r="J8" i="1"/>
  <c r="J18" i="1"/>
  <c r="V65" i="1"/>
  <c r="V64" i="1"/>
  <c r="W68" i="1"/>
  <c r="W67" i="1"/>
  <c r="W60" i="1"/>
  <c r="W59" i="1"/>
  <c r="W57" i="1"/>
  <c r="J59" i="1"/>
  <c r="K55" i="1"/>
  <c r="K51" i="1"/>
  <c r="J51" i="1"/>
  <c r="K50" i="1"/>
  <c r="J50" i="1"/>
  <c r="K49" i="1"/>
  <c r="J49" i="1"/>
  <c r="J45" i="1"/>
  <c r="K46" i="1"/>
  <c r="K45" i="1"/>
  <c r="K41" i="1"/>
  <c r="W52" i="1"/>
  <c r="W51" i="1"/>
  <c r="W36" i="1"/>
  <c r="W44" i="1" s="1"/>
  <c r="W25" i="1"/>
  <c r="W16" i="1"/>
  <c r="W64" i="1"/>
  <c r="W6" i="1"/>
  <c r="J38" i="1"/>
  <c r="J37" i="1"/>
  <c r="J23" i="1"/>
  <c r="J25" i="1" s="1"/>
  <c r="J27" i="1" s="1"/>
  <c r="J16" i="1"/>
  <c r="J15" i="1"/>
  <c r="J17" i="1" s="1"/>
  <c r="J9" i="1"/>
  <c r="J6" i="1"/>
  <c r="J7" i="1" s="1"/>
  <c r="K38" i="1"/>
  <c r="K37" i="1"/>
  <c r="K9" i="1"/>
  <c r="I8" i="1"/>
  <c r="W65" i="1" l="1"/>
  <c r="K56" i="1"/>
  <c r="K59" i="1" s="1"/>
  <c r="W70" i="1"/>
  <c r="W72" i="1"/>
  <c r="W66" i="1"/>
  <c r="W69" i="1" s="1"/>
  <c r="J28" i="1"/>
  <c r="J29" i="1"/>
  <c r="V62" i="1"/>
  <c r="J32" i="1"/>
  <c r="J30" i="1"/>
  <c r="K58" i="1"/>
  <c r="K57" i="1"/>
  <c r="W58" i="1"/>
  <c r="V11" i="1"/>
  <c r="U11" i="1"/>
  <c r="I56" i="1" s="1"/>
  <c r="J56" i="1"/>
  <c r="K26" i="1"/>
  <c r="K10" i="1"/>
  <c r="I7" i="1"/>
  <c r="H7" i="1"/>
  <c r="G7" i="1"/>
  <c r="J33" i="1" l="1"/>
  <c r="J34" i="1"/>
  <c r="K15" i="1" l="1"/>
  <c r="W13" i="1"/>
  <c r="J58" i="1"/>
  <c r="J57" i="1"/>
  <c r="Y52" i="1"/>
  <c r="J10" i="1"/>
  <c r="W61" i="1" l="1"/>
  <c r="K23" i="1"/>
  <c r="K17" i="1"/>
  <c r="V66" i="1"/>
  <c r="V6" i="1"/>
  <c r="T6" i="1"/>
  <c r="S6" i="1"/>
  <c r="R6" i="1"/>
  <c r="K25" i="1" l="1"/>
  <c r="K27" i="1" s="1"/>
  <c r="W63" i="1"/>
  <c r="V12" i="1"/>
  <c r="I37" i="1"/>
  <c r="I38" i="1"/>
  <c r="W62" i="1" l="1"/>
  <c r="K29" i="1"/>
  <c r="K32" i="1"/>
  <c r="K34" i="1" s="1"/>
  <c r="V57" i="1"/>
  <c r="V36" i="1" l="1"/>
  <c r="V25" i="1"/>
  <c r="V16" i="1"/>
  <c r="K16" i="1" l="1"/>
  <c r="V44" i="1"/>
  <c r="V63" i="1"/>
  <c r="V51" i="1"/>
  <c r="V13" i="1" s="1"/>
  <c r="V52" i="1"/>
  <c r="V58" i="1"/>
  <c r="I24" i="1" l="1"/>
  <c r="K33" i="1" l="1"/>
  <c r="K28" i="1"/>
  <c r="I55" i="1"/>
  <c r="U57" i="1"/>
  <c r="U45" i="1"/>
  <c r="U49" i="1"/>
  <c r="U41" i="1"/>
  <c r="U40" i="1"/>
  <c r="U39" i="1"/>
  <c r="U38" i="1"/>
  <c r="U37" i="1"/>
  <c r="V67" i="1" s="1"/>
  <c r="U34" i="1"/>
  <c r="U35" i="1"/>
  <c r="U32" i="1"/>
  <c r="U31" i="1"/>
  <c r="I58" i="1" s="1"/>
  <c r="U30" i="1"/>
  <c r="U29" i="1"/>
  <c r="U26" i="1"/>
  <c r="U24" i="1"/>
  <c r="U23" i="1"/>
  <c r="U21" i="1"/>
  <c r="I57" i="1" l="1"/>
  <c r="J41" i="1"/>
  <c r="J46" i="1" s="1"/>
  <c r="V68" i="1"/>
  <c r="V69" i="1" s="1"/>
  <c r="U20" i="1"/>
  <c r="U19" i="1"/>
  <c r="U17" i="1"/>
  <c r="V70" i="1" s="1"/>
  <c r="U5" i="1"/>
  <c r="U4" i="1"/>
  <c r="I43" i="1"/>
  <c r="I42" i="1"/>
  <c r="I44" i="1"/>
  <c r="I31" i="1"/>
  <c r="I26" i="1"/>
  <c r="I21" i="1"/>
  <c r="I19" i="1"/>
  <c r="I14" i="1"/>
  <c r="I13" i="1"/>
  <c r="I11" i="1"/>
  <c r="I10" i="1"/>
  <c r="H8" i="1"/>
  <c r="I5" i="1"/>
  <c r="I4" i="1"/>
  <c r="U71" i="1"/>
  <c r="I45" i="1" l="1"/>
  <c r="U6" i="1"/>
  <c r="U58" i="1" s="1"/>
  <c r="U60" i="1" s="1"/>
  <c r="I6" i="1"/>
  <c r="I50" i="1"/>
  <c r="U70" i="1"/>
  <c r="U66" i="1"/>
  <c r="U68" i="1"/>
  <c r="U67" i="1"/>
  <c r="T57" i="1"/>
  <c r="D49" i="1"/>
  <c r="E49" i="1"/>
  <c r="F49" i="1"/>
  <c r="G49" i="1"/>
  <c r="H49" i="1"/>
  <c r="C49" i="1"/>
  <c r="I41" i="1"/>
  <c r="I46" i="1" s="1"/>
  <c r="T66" i="1"/>
  <c r="T70" i="1"/>
  <c r="T11" i="1"/>
  <c r="H55" i="1"/>
  <c r="C6" i="1"/>
  <c r="H9" i="1"/>
  <c r="T67" i="1" s="1"/>
  <c r="I59" i="1" l="1"/>
  <c r="U65" i="1"/>
  <c r="U64" i="1"/>
  <c r="U69" i="1"/>
  <c r="I49" i="1"/>
  <c r="I51" i="1" s="1"/>
  <c r="U16" i="1"/>
  <c r="U36" i="1"/>
  <c r="U52" i="1" s="1"/>
  <c r="U25" i="1"/>
  <c r="T68" i="1"/>
  <c r="T69" i="1" s="1"/>
  <c r="U12" i="1"/>
  <c r="I9" i="1"/>
  <c r="I15" i="1" s="1"/>
  <c r="U44" i="1" l="1"/>
  <c r="V72" i="1" s="1"/>
  <c r="U51" i="1"/>
  <c r="U13" i="1" s="1"/>
  <c r="T59" i="1"/>
  <c r="U61" i="1" l="1"/>
  <c r="I23" i="1"/>
  <c r="I18" i="1"/>
  <c r="H58" i="1"/>
  <c r="H50" i="1"/>
  <c r="I25" i="1" l="1"/>
  <c r="I27" i="1" s="1"/>
  <c r="U63" i="1"/>
  <c r="E9" i="1"/>
  <c r="E15" i="1" s="1"/>
  <c r="E23" i="1" s="1"/>
  <c r="U62" i="1" l="1"/>
  <c r="I32" i="1"/>
  <c r="E6" i="1"/>
  <c r="O25" i="1"/>
  <c r="O16" i="1"/>
  <c r="O5" i="1"/>
  <c r="C14" i="1"/>
  <c r="C9" i="1" s="1"/>
  <c r="O66" i="1"/>
  <c r="N6" i="1" l="1"/>
  <c r="N12" i="1" s="1"/>
  <c r="C50" i="1"/>
  <c r="E50" i="1"/>
  <c r="F50" i="1"/>
  <c r="G50" i="1"/>
  <c r="G51" i="1" s="1"/>
  <c r="N25" i="1"/>
  <c r="N16" i="1"/>
  <c r="N36" i="1"/>
  <c r="N11" i="1"/>
  <c r="N51" i="1" l="1"/>
  <c r="N13" i="1" s="1"/>
  <c r="T58" i="1"/>
  <c r="T65" i="1"/>
  <c r="T64" i="1"/>
  <c r="T12" i="1"/>
  <c r="N44" i="1"/>
  <c r="N52" i="1"/>
  <c r="G45" i="1"/>
  <c r="G46" i="1" s="1"/>
  <c r="H37" i="1"/>
  <c r="T25" i="1" l="1"/>
  <c r="H45" i="1"/>
  <c r="H46" i="1" s="1"/>
  <c r="H38" i="1"/>
  <c r="G8" i="1"/>
  <c r="G9" i="1" l="1"/>
  <c r="H6" i="1"/>
  <c r="G15" i="1" l="1"/>
  <c r="H15" i="1"/>
  <c r="D4" i="3"/>
  <c r="D57" i="1"/>
  <c r="C57" i="1"/>
  <c r="S16" i="1"/>
  <c r="S25" i="1"/>
  <c r="S11" i="1"/>
  <c r="R11" i="1"/>
  <c r="T16" i="1"/>
  <c r="T36" i="1"/>
  <c r="S36" i="1"/>
  <c r="Q36" i="1"/>
  <c r="P36" i="1"/>
  <c r="P11" i="1"/>
  <c r="Q25" i="1"/>
  <c r="P25" i="1"/>
  <c r="O11" i="1"/>
  <c r="C56" i="1" s="1"/>
  <c r="Q11" i="1"/>
  <c r="O36" i="1"/>
  <c r="G23" i="1" l="1"/>
  <c r="H23" i="1"/>
  <c r="H25" i="1" s="1"/>
  <c r="H27" i="1" s="1"/>
  <c r="I28" i="1" s="1"/>
  <c r="I16" i="1"/>
  <c r="H18" i="1"/>
  <c r="T44" i="1"/>
  <c r="T52" i="1"/>
  <c r="H16" i="1"/>
  <c r="O44" i="1"/>
  <c r="H51" i="1"/>
  <c r="S51" i="1"/>
  <c r="S13" i="1" s="1"/>
  <c r="P44" i="1"/>
  <c r="T63" i="1" l="1"/>
  <c r="U72" i="1"/>
  <c r="H32" i="1"/>
  <c r="I33" i="1" s="1"/>
  <c r="H30" i="1"/>
  <c r="O6" i="1"/>
  <c r="O57" i="1"/>
  <c r="O59" i="1" s="1"/>
  <c r="C55" i="1"/>
  <c r="E55" i="1"/>
  <c r="O58" i="1" l="1"/>
  <c r="O60" i="1" s="1"/>
  <c r="O52" i="1"/>
  <c r="O12" i="1"/>
  <c r="D45" i="1"/>
  <c r="D46" i="1" s="1"/>
  <c r="C45" i="1"/>
  <c r="C46" i="1" s="1"/>
  <c r="D7" i="1"/>
  <c r="D14" i="1"/>
  <c r="D9" i="1" s="1"/>
  <c r="D15" i="1" s="1"/>
  <c r="D23" i="1" s="1"/>
  <c r="F9" i="1"/>
  <c r="F7" i="1"/>
  <c r="F15" i="1" l="1"/>
  <c r="G18" i="1"/>
  <c r="F23" i="1" l="1"/>
  <c r="F27" i="1" s="1"/>
  <c r="I29" i="1" s="1"/>
  <c r="I17" i="1"/>
  <c r="H17" i="1"/>
  <c r="C15" i="1"/>
  <c r="C23" i="1" s="1"/>
  <c r="D6" i="1"/>
  <c r="F6" i="1"/>
  <c r="G6" i="1"/>
  <c r="F8" i="1"/>
  <c r="H57" i="1"/>
  <c r="G55" i="1"/>
  <c r="C18" i="1" l="1"/>
  <c r="F16" i="1"/>
  <c r="J24" i="3"/>
  <c r="H13" i="3"/>
  <c r="H4" i="3"/>
  <c r="D8" i="3"/>
  <c r="D13" i="3"/>
  <c r="E13" i="3"/>
  <c r="C13" i="3"/>
  <c r="E8" i="3"/>
  <c r="C8" i="3"/>
  <c r="E4" i="3"/>
  <c r="C4" i="3"/>
  <c r="D7" i="2"/>
  <c r="E7" i="2"/>
  <c r="F7" i="2"/>
  <c r="C7" i="2"/>
  <c r="O70" i="1"/>
  <c r="E21" i="3" l="1"/>
  <c r="H24" i="3"/>
  <c r="D21" i="3"/>
  <c r="C21" i="3"/>
  <c r="T62" i="1"/>
  <c r="T60" i="1"/>
  <c r="C27" i="1"/>
  <c r="E22" i="3"/>
  <c r="H56" i="1"/>
  <c r="H59" i="1" s="1"/>
  <c r="T61" i="1" s="1"/>
  <c r="T51" i="1"/>
  <c r="T13" i="1" s="1"/>
  <c r="D22" i="3"/>
  <c r="C22" i="3"/>
  <c r="D55" i="1"/>
  <c r="F55" i="1"/>
  <c r="C30" i="1" l="1"/>
  <c r="O62" i="1"/>
  <c r="Q70" i="1"/>
  <c r="R70" i="1"/>
  <c r="S70" i="1"/>
  <c r="P70" i="1"/>
  <c r="D50" i="1" l="1"/>
  <c r="Q66" i="1" l="1"/>
  <c r="R66" i="1"/>
  <c r="S66" i="1"/>
  <c r="P66" i="1"/>
  <c r="P57" i="1"/>
  <c r="P59" i="1" s="1"/>
  <c r="Q57" i="1"/>
  <c r="Q59" i="1" s="1"/>
  <c r="R57" i="1"/>
  <c r="R59" i="1" s="1"/>
  <c r="S57" i="1"/>
  <c r="S59" i="1" s="1"/>
  <c r="C58" i="1" l="1"/>
  <c r="D58" i="1"/>
  <c r="E58" i="1"/>
  <c r="F58" i="1"/>
  <c r="G58" i="1"/>
  <c r="E57" i="1"/>
  <c r="F57" i="1"/>
  <c r="G57" i="1"/>
  <c r="E45" i="1"/>
  <c r="E46" i="1" s="1"/>
  <c r="F45" i="1"/>
  <c r="F46" i="1" s="1"/>
  <c r="R36" i="1" l="1"/>
  <c r="R25" i="1"/>
  <c r="R16" i="1"/>
  <c r="Q16" i="1"/>
  <c r="P16" i="1"/>
  <c r="P51" i="1" s="1"/>
  <c r="P13" i="1" s="1"/>
  <c r="S52" i="1"/>
  <c r="Q6" i="1"/>
  <c r="Q52" i="1" s="1"/>
  <c r="P6" i="1"/>
  <c r="P52" i="1" s="1"/>
  <c r="R51" i="1" l="1"/>
  <c r="R13" i="1" s="1"/>
  <c r="R52" i="1"/>
  <c r="O51" i="1"/>
  <c r="O13" i="1" s="1"/>
  <c r="Q51" i="1"/>
  <c r="Q13" i="1" s="1"/>
  <c r="Q12" i="1"/>
  <c r="Q58" i="1"/>
  <c r="Q60" i="1" s="1"/>
  <c r="S12" i="1"/>
  <c r="S63" i="1" s="1"/>
  <c r="S58" i="1"/>
  <c r="S60" i="1" s="1"/>
  <c r="S44" i="1"/>
  <c r="T72" i="1" s="1"/>
  <c r="Q65" i="1"/>
  <c r="Q64" i="1"/>
  <c r="E56" i="1"/>
  <c r="E59" i="1" s="1"/>
  <c r="R44" i="1"/>
  <c r="P12" i="1"/>
  <c r="P58" i="1"/>
  <c r="P60" i="1" s="1"/>
  <c r="R64" i="1"/>
  <c r="R65" i="1"/>
  <c r="F56" i="1"/>
  <c r="F59" i="1" s="1"/>
  <c r="S65" i="1"/>
  <c r="S64" i="1"/>
  <c r="G56" i="1"/>
  <c r="G59" i="1" s="1"/>
  <c r="S61" i="1" s="1"/>
  <c r="R12" i="1"/>
  <c r="R58" i="1"/>
  <c r="R60" i="1" s="1"/>
  <c r="O65" i="1"/>
  <c r="O64" i="1"/>
  <c r="C59" i="1"/>
  <c r="O61" i="1" s="1"/>
  <c r="Q44" i="1"/>
  <c r="P65" i="1"/>
  <c r="P64" i="1"/>
  <c r="D56" i="1"/>
  <c r="D59" i="1" s="1"/>
  <c r="P72" i="1" l="1"/>
  <c r="O72" i="1"/>
  <c r="Q72" i="1"/>
  <c r="S72" i="1"/>
  <c r="R72" i="1"/>
  <c r="E7" i="1"/>
  <c r="D37" i="1"/>
  <c r="E37" i="1"/>
  <c r="F37" i="1"/>
  <c r="G37" i="1"/>
  <c r="F38" i="1"/>
  <c r="G38" i="1"/>
  <c r="O67" i="1" l="1"/>
  <c r="O68" i="1"/>
  <c r="P68" i="1"/>
  <c r="P67" i="1"/>
  <c r="Q68" i="1"/>
  <c r="Q67" i="1"/>
  <c r="R61" i="1"/>
  <c r="R68" i="1"/>
  <c r="R67" i="1"/>
  <c r="S68" i="1"/>
  <c r="S67" i="1"/>
  <c r="D16" i="1" l="1"/>
  <c r="E16" i="1"/>
  <c r="P61" i="1"/>
  <c r="D18" i="1"/>
  <c r="Q61" i="1"/>
  <c r="G17" i="1"/>
  <c r="G16" i="1"/>
  <c r="D27" i="1"/>
  <c r="P62" i="1" s="1"/>
  <c r="G27" i="1"/>
  <c r="R63" i="1"/>
  <c r="R69" i="1"/>
  <c r="O69" i="1"/>
  <c r="S69" i="1"/>
  <c r="E18" i="1"/>
  <c r="C51" i="1"/>
  <c r="O63" i="1"/>
  <c r="Q69" i="1"/>
  <c r="F17" i="1"/>
  <c r="P69" i="1"/>
  <c r="F18" i="1"/>
  <c r="G30" i="1" l="1"/>
  <c r="H28" i="1"/>
  <c r="S62" i="1"/>
  <c r="E51" i="1"/>
  <c r="G28" i="1"/>
  <c r="G32" i="1"/>
  <c r="C32" i="1"/>
  <c r="G29" i="1"/>
  <c r="P63" i="1"/>
  <c r="D51" i="1"/>
  <c r="R62" i="1"/>
  <c r="E27" i="1"/>
  <c r="H29" i="1" s="1"/>
  <c r="F51" i="1"/>
  <c r="Q63" i="1"/>
  <c r="F32" i="1"/>
  <c r="I34" i="1" s="1"/>
  <c r="D28" i="1"/>
  <c r="D32" i="1"/>
  <c r="D30" i="1"/>
  <c r="G33" i="1" l="1"/>
  <c r="H33" i="1"/>
  <c r="Q62" i="1"/>
  <c r="F28" i="1"/>
  <c r="F30" i="1"/>
  <c r="F29" i="1"/>
  <c r="D33" i="1"/>
  <c r="E28" i="1"/>
  <c r="E32" i="1"/>
  <c r="H34" i="1" s="1"/>
  <c r="F34" i="1"/>
  <c r="G34" i="1"/>
  <c r="E30" i="1"/>
  <c r="F33" i="1" l="1"/>
  <c r="V60" i="1" l="1"/>
  <c r="J55" i="1"/>
  <c r="V61" i="1" s="1"/>
  <c r="V59" i="1"/>
</calcChain>
</file>

<file path=xl/sharedStrings.xml><?xml version="1.0" encoding="utf-8"?>
<sst xmlns="http://schemas.openxmlformats.org/spreadsheetml/2006/main" count="272" uniqueCount="152">
  <si>
    <t>INCOME STATEMENT</t>
  </si>
  <si>
    <t>Y/E, Mar (Rs. mn)</t>
  </si>
  <si>
    <t>FY17</t>
  </si>
  <si>
    <t>FY18</t>
  </si>
  <si>
    <t>FY19</t>
  </si>
  <si>
    <t>FY20</t>
  </si>
  <si>
    <t>FY21</t>
  </si>
  <si>
    <t>H1-FY22</t>
  </si>
  <si>
    <t>9M-FY22</t>
  </si>
  <si>
    <t>Revenue from Operations</t>
  </si>
  <si>
    <t>Growth (%)</t>
  </si>
  <si>
    <t>CAGR (%) - 3 years</t>
  </si>
  <si>
    <t>Total Expenses</t>
  </si>
  <si>
    <t>Employee benefits expenses</t>
  </si>
  <si>
    <t>EBITDA</t>
  </si>
  <si>
    <t>EBITDA Margin (%)</t>
  </si>
  <si>
    <t>Depreciation and amortisation expenses</t>
  </si>
  <si>
    <t>Finance costs</t>
  </si>
  <si>
    <t>Other Income</t>
  </si>
  <si>
    <t>PBT</t>
  </si>
  <si>
    <t>Tax Expense</t>
  </si>
  <si>
    <t>PAT</t>
  </si>
  <si>
    <t>PAT Margin (%)</t>
  </si>
  <si>
    <t>Other Comprehensive Income</t>
  </si>
  <si>
    <t>Total Comprehensive Income</t>
  </si>
  <si>
    <t>CAGR (%) - 3 Years</t>
  </si>
  <si>
    <t>BALANCE SHEET</t>
  </si>
  <si>
    <t>Share Capital</t>
  </si>
  <si>
    <t>Other Equity</t>
  </si>
  <si>
    <t>Networth/Shareholders Fund/ Book Value</t>
  </si>
  <si>
    <t>Minority Int</t>
  </si>
  <si>
    <t>Long Term Debt</t>
  </si>
  <si>
    <t>Loans</t>
  </si>
  <si>
    <t>Capital Employed</t>
  </si>
  <si>
    <t>NON-CURRENT ASSETS</t>
  </si>
  <si>
    <t>Property, plant &amp; equipment</t>
  </si>
  <si>
    <t>Intangible Assets</t>
  </si>
  <si>
    <t>Capital Work-in-progress</t>
  </si>
  <si>
    <t>Financial assets</t>
  </si>
  <si>
    <t>(ii) Other financial assets</t>
  </si>
  <si>
    <t>Other non-current assets</t>
  </si>
  <si>
    <t>Inventories</t>
  </si>
  <si>
    <t>CURRENT LIABILITIES &amp; PROVISIONS</t>
  </si>
  <si>
    <t>Other Current liabilities</t>
  </si>
  <si>
    <t>Provisions</t>
  </si>
  <si>
    <t>NET CURRENT ASSETS</t>
  </si>
  <si>
    <t>Long term provision</t>
  </si>
  <si>
    <t>TOTAL ASSETS</t>
  </si>
  <si>
    <t>TOTAL LIABILITIES</t>
  </si>
  <si>
    <t>(i) Loans</t>
  </si>
  <si>
    <t>(i) Investment in Liquid Scheme of MF</t>
  </si>
  <si>
    <t>(ii)Trade Receivable</t>
  </si>
  <si>
    <t>(iii)Cash and cash equivalents</t>
  </si>
  <si>
    <t>(iv)Other bank balances</t>
  </si>
  <si>
    <t>(v)Loans</t>
  </si>
  <si>
    <t>(vi) Other financial assets</t>
  </si>
  <si>
    <t>Current tax assets (net)</t>
  </si>
  <si>
    <t>Other current assets</t>
  </si>
  <si>
    <t>Deferred tax liability (net)</t>
  </si>
  <si>
    <t>Other non-current liabilities</t>
  </si>
  <si>
    <t>Financial liabilities</t>
  </si>
  <si>
    <t>(i)Trade Payables</t>
  </si>
  <si>
    <t>(ii)Other Financial liabilities</t>
  </si>
  <si>
    <t>Cuurent Tax Liabilities (net)</t>
  </si>
  <si>
    <t>Right to use assets</t>
  </si>
  <si>
    <t>Lease Liabilities</t>
  </si>
  <si>
    <t>(iii)Lease Liabilities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</si>
  <si>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</si>
  <si>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</si>
  <si>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</si>
  <si>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</si>
  <si>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</si>
  <si>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</si>
  <si>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</si>
  <si>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</si>
  <si>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Pre-Tax Profit </t>
  </si>
  <si>
    <t xml:space="preserve">Depreciation </t>
  </si>
  <si>
    <t xml:space="preserve">Change in Working Capital </t>
  </si>
  <si>
    <t xml:space="preserve">Operating Cash Inflow </t>
  </si>
  <si>
    <t>Capital Expenditure</t>
  </si>
  <si>
    <t>FCF</t>
  </si>
  <si>
    <t>No of Shares</t>
  </si>
  <si>
    <t>Market Cap</t>
  </si>
  <si>
    <t>Total Debt</t>
  </si>
  <si>
    <t>Cash</t>
  </si>
  <si>
    <t>Bank</t>
  </si>
  <si>
    <t>EV</t>
  </si>
  <si>
    <t>NA</t>
  </si>
  <si>
    <t>P/BV (x)</t>
  </si>
  <si>
    <t>EV/EBIDTA (x)</t>
  </si>
  <si>
    <t>Net D/E (x)</t>
  </si>
  <si>
    <t>Debtor Days</t>
  </si>
  <si>
    <t>Creditor Days</t>
  </si>
  <si>
    <t>Inventory Days</t>
  </si>
  <si>
    <t>Cash Conversion cycle</t>
  </si>
  <si>
    <t>Working Capital Days</t>
  </si>
  <si>
    <t>KEY RATIOS</t>
  </si>
  <si>
    <t>CMP(INR)</t>
  </si>
  <si>
    <t>EPS (INR)</t>
  </si>
  <si>
    <t>BVPS (INR)</t>
  </si>
  <si>
    <t>ROE (%)</t>
  </si>
  <si>
    <t>ROCE (%)</t>
  </si>
  <si>
    <t>Gross D/E (x)</t>
  </si>
  <si>
    <t>Fixed Asset Turnover</t>
  </si>
  <si>
    <t>Interest Coverage Ratio</t>
  </si>
  <si>
    <t>P/E (x)</t>
  </si>
  <si>
    <t>FY16</t>
  </si>
  <si>
    <t>FY22</t>
  </si>
  <si>
    <t>EBIDTA</t>
  </si>
  <si>
    <t>EBIDTA Margins (%)</t>
  </si>
  <si>
    <t>Tax</t>
  </si>
  <si>
    <t>PAT Margins (%)</t>
  </si>
  <si>
    <t>Diluted EPS</t>
  </si>
  <si>
    <t>EQUITY</t>
  </si>
  <si>
    <t>LIABILITIES</t>
  </si>
  <si>
    <t>NON-CURRENT LIABILITIES</t>
  </si>
  <si>
    <t>CURRENT LIABILITIES</t>
  </si>
  <si>
    <t>GRAND TOTAL - EQUITY AND LIABILITIES</t>
  </si>
  <si>
    <t>Particulars (INR. mn)</t>
  </si>
  <si>
    <t>CURRENT ASSETS</t>
  </si>
  <si>
    <t>GRAND TOTAL - ASSETS</t>
  </si>
  <si>
    <t>Total Income</t>
  </si>
  <si>
    <t>Change in Inventories of finished goods , stock in trade and Work in progess</t>
  </si>
  <si>
    <t>Purchase of Inventory</t>
  </si>
  <si>
    <t>-</t>
  </si>
  <si>
    <t>Expenses</t>
  </si>
  <si>
    <t>Other expenses*(Includes excise duty for Fy18&amp;17)</t>
  </si>
  <si>
    <t>Trade Payables</t>
  </si>
  <si>
    <t>Other Financial Liabilities</t>
  </si>
  <si>
    <t>Long term Loans and Advances</t>
  </si>
  <si>
    <t xml:space="preserve">Short Term Debt </t>
  </si>
  <si>
    <t xml:space="preserve"> </t>
  </si>
  <si>
    <t>Financial assets- Investments</t>
  </si>
  <si>
    <t>(v)Short Terms Loans &amp; Advances</t>
  </si>
  <si>
    <t>Other Non Current liabilities</t>
  </si>
  <si>
    <t>Exceptional Items</t>
  </si>
  <si>
    <t>Column1</t>
  </si>
  <si>
    <t>Column2</t>
  </si>
  <si>
    <t>(i)Prepayments</t>
  </si>
  <si>
    <t>Other Adjustments</t>
  </si>
  <si>
    <t>Taxes Paid/Net Refunds</t>
  </si>
  <si>
    <t>Amortisation expense</t>
  </si>
  <si>
    <t>PBT and Exceptional items</t>
  </si>
  <si>
    <t>FY23</t>
  </si>
  <si>
    <t>Investments</t>
  </si>
  <si>
    <t>FY24</t>
  </si>
  <si>
    <t>Cost of Materials Consumed &amp; Mining charges</t>
  </si>
  <si>
    <t>Current tax liabilities (Net)</t>
  </si>
  <si>
    <t>LLOYDS METALS AND ENERGY LTD.</t>
  </si>
  <si>
    <t>FY25</t>
  </si>
  <si>
    <t>Defered Tax Assets</t>
  </si>
  <si>
    <t>Borrowings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</si>
</sst>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rgb="FF000000"/>
      <name val="MyFirstFont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10" fontId="2" fillId="2" borderId="2" xfId="1" applyNumberFormat="1" applyFont="1" applyFill="1" applyBorder="1"/>
    <xf numFmtId="2" fontId="0" fillId="0" borderId="2" xfId="1" applyNumberFormat="1" applyFont="1" applyFill="1" applyBorder="1"/>
    <xf numFmtId="2" fontId="2" fillId="2" borderId="2" xfId="1" applyNumberFormat="1" applyFont="1" applyFill="1" applyBorder="1"/>
    <xf numFmtId="43" fontId="0" fillId="0" borderId="2" xfId="0" applyNumberFormat="1" applyBorder="1"/>
    <xf numFmtId="43" fontId="2" fillId="2" borderId="2" xfId="0" applyNumberFormat="1" applyFont="1" applyFill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left"/>
    </xf>
    <xf numFmtId="0" fontId="0" fillId="0" borderId="3" xfId="0" applyBorder="1"/>
    <xf numFmtId="2" fontId="0" fillId="0" borderId="2" xfId="0" applyNumberFormat="1" applyBorder="1"/>
    <xf numFmtId="43" fontId="6" fillId="0" borderId="2" xfId="0" applyNumberFormat="1" applyFont="1" applyBorder="1"/>
    <xf numFmtId="43" fontId="6" fillId="0" borderId="2" xfId="0" applyNumberFormat="1" applyFont="1" applyBorder="1" applyAlignment="1">
      <alignment horizontal="right"/>
    </xf>
    <xf numFmtId="0" fontId="6" fillId="0" borderId="2" xfId="0" applyFont="1" applyBorder="1"/>
    <xf numFmtId="43" fontId="0" fillId="0" borderId="0" xfId="0" applyNumberFormat="1"/>
    <xf numFmtId="2" fontId="6" fillId="0" borderId="2" xfId="0" applyNumberFormat="1" applyFont="1" applyBorder="1"/>
    <xf numFmtId="10" fontId="6" fillId="0" borderId="2" xfId="1" applyNumberFormat="1" applyFont="1" applyBorder="1"/>
    <xf numFmtId="1" fontId="0" fillId="0" borderId="2" xfId="0" applyNumberFormat="1" applyBorder="1"/>
    <xf numFmtId="2" fontId="6" fillId="0" borderId="2" xfId="0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6" fillId="0" borderId="2" xfId="1" applyNumberFormat="1" applyFont="1" applyBorder="1"/>
    <xf numFmtId="166" fontId="2" fillId="0" borderId="2" xfId="0" applyNumberFormat="1" applyFont="1" applyBorder="1"/>
    <xf numFmtId="166" fontId="0" fillId="0" borderId="2" xfId="0" applyNumberFormat="1" applyBorder="1"/>
    <xf numFmtId="2" fontId="1" fillId="0" borderId="2" xfId="1" applyNumberFormat="1" applyFont="1" applyFill="1" applyBorder="1"/>
    <xf numFmtId="1" fontId="1" fillId="0" borderId="2" xfId="1" applyNumberFormat="1" applyFont="1" applyFill="1" applyBorder="1"/>
    <xf numFmtId="0" fontId="7" fillId="0" borderId="2" xfId="0" applyFont="1" applyBorder="1"/>
    <xf numFmtId="10" fontId="7" fillId="0" borderId="2" xfId="1" applyNumberFormat="1" applyFont="1" applyFill="1" applyBorder="1"/>
    <xf numFmtId="1" fontId="2" fillId="0" borderId="2" xfId="0" applyNumberFormat="1" applyFont="1" applyBorder="1"/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166" fontId="6" fillId="0" borderId="2" xfId="0" applyNumberFormat="1" applyFont="1" applyBorder="1"/>
    <xf numFmtId="166" fontId="6" fillId="0" borderId="1" xfId="0" applyNumberFormat="1" applyFont="1" applyBorder="1"/>
    <xf numFmtId="166" fontId="6" fillId="0" borderId="2" xfId="0" applyNumberFormat="1" applyFont="1" applyBorder="1" applyAlignment="1">
      <alignment horizontal="right"/>
    </xf>
    <xf numFmtId="3" fontId="8" fillId="0" borderId="0" xfId="0" applyNumberFormat="1" applyFont="1"/>
    <xf numFmtId="3" fontId="8" fillId="3" borderId="0" xfId="0" applyNumberFormat="1" applyFont="1" applyFill="1" applyAlignment="1">
      <alignment horizontal="right" vertical="center" wrapText="1"/>
    </xf>
    <xf numFmtId="0" fontId="1" fillId="4" borderId="6" xfId="3" applyBorder="1"/>
    <xf numFmtId="0" fontId="1" fillId="4" borderId="7" xfId="3" applyBorder="1"/>
    <xf numFmtId="0" fontId="1" fillId="4" borderId="4" xfId="3" applyBorder="1"/>
    <xf numFmtId="0" fontId="1" fillId="4" borderId="5" xfId="3" applyBorder="1"/>
    <xf numFmtId="0" fontId="1" fillId="4" borderId="5" xfId="3" applyBorder="1" applyAlignment="1">
      <alignment wrapText="1"/>
    </xf>
    <xf numFmtId="0" fontId="1" fillId="4" borderId="8" xfId="3" applyBorder="1"/>
    <xf numFmtId="0" fontId="1" fillId="4" borderId="9" xfId="3" applyBorder="1"/>
    <xf numFmtId="165" fontId="2" fillId="2" borderId="2" xfId="0" applyNumberFormat="1" applyFont="1" applyFill="1" applyBorder="1"/>
    <xf numFmtId="43" fontId="0" fillId="0" borderId="0" xfId="2" applyFont="1" applyBorder="1"/>
    <xf numFmtId="43" fontId="6" fillId="0" borderId="2" xfId="2" applyFont="1" applyBorder="1"/>
    <xf numFmtId="43" fontId="2" fillId="2" borderId="2" xfId="2" applyFont="1" applyFill="1" applyBorder="1"/>
    <xf numFmtId="0" fontId="0" fillId="5" borderId="0" xfId="0" applyFill="1"/>
    <xf numFmtId="0" fontId="2" fillId="5" borderId="0" xfId="0" applyFont="1" applyFill="1" applyAlignment="1">
      <alignment horizontal="center"/>
    </xf>
    <xf numFmtId="3" fontId="2" fillId="5" borderId="0" xfId="0" applyNumberFormat="1" applyFont="1" applyFill="1"/>
    <xf numFmtId="43" fontId="2" fillId="5" borderId="0" xfId="0" applyNumberFormat="1" applyFont="1" applyFill="1"/>
    <xf numFmtId="43" fontId="3" fillId="5" borderId="0" xfId="2" applyFont="1" applyFill="1" applyBorder="1"/>
    <xf numFmtId="43" fontId="0" fillId="5" borderId="0" xfId="0" applyNumberFormat="1" applyFill="1"/>
    <xf numFmtId="43" fontId="0" fillId="5" borderId="0" xfId="2" applyFont="1" applyFill="1" applyBorder="1"/>
    <xf numFmtId="10" fontId="2" fillId="5" borderId="0" xfId="1" applyNumberFormat="1" applyFont="1" applyFill="1" applyBorder="1"/>
    <xf numFmtId="165" fontId="2" fillId="5" borderId="0" xfId="0" applyNumberFormat="1" applyFont="1" applyFill="1"/>
    <xf numFmtId="43" fontId="2" fillId="5" borderId="0" xfId="0" applyNumberFormat="1" applyFont="1" applyFill="1" applyAlignment="1">
      <alignment horizontal="center"/>
    </xf>
    <xf numFmtId="2" fontId="0" fillId="5" borderId="0" xfId="1" applyNumberFormat="1" applyFont="1" applyFill="1" applyBorder="1"/>
    <xf numFmtId="2" fontId="2" fillId="5" borderId="0" xfId="1" applyNumberFormat="1" applyFont="1" applyFill="1" applyBorder="1"/>
    <xf numFmtId="43" fontId="2" fillId="6" borderId="2" xfId="0" applyNumberFormat="1" applyFont="1" applyFill="1" applyBorder="1"/>
    <xf numFmtId="43" fontId="0" fillId="6" borderId="2" xfId="0" applyNumberFormat="1" applyFill="1" applyBorder="1"/>
    <xf numFmtId="43" fontId="0" fillId="6" borderId="2" xfId="2" applyFont="1" applyFill="1" applyBorder="1"/>
    <xf numFmtId="0" fontId="0" fillId="6" borderId="2" xfId="0" applyFill="1" applyBorder="1"/>
    <xf numFmtId="165" fontId="2" fillId="6" borderId="2" xfId="0" applyNumberFormat="1" applyFont="1" applyFill="1" applyBorder="1"/>
    <xf numFmtId="2" fontId="0" fillId="6" borderId="2" xfId="1" applyNumberFormat="1" applyFont="1" applyFill="1" applyBorder="1"/>
    <xf numFmtId="43" fontId="6" fillId="6" borderId="2" xfId="2" applyFont="1" applyFill="1" applyBorder="1"/>
    <xf numFmtId="0" fontId="0" fillId="6" borderId="0" xfId="0" applyFill="1"/>
    <xf numFmtId="0" fontId="2" fillId="6" borderId="2" xfId="0" applyFont="1" applyFill="1" applyBorder="1" applyAlignment="1">
      <alignment horizontal="center"/>
    </xf>
    <xf numFmtId="2" fontId="0" fillId="6" borderId="2" xfId="0" applyNumberFormat="1" applyFill="1" applyBorder="1"/>
    <xf numFmtId="0" fontId="5" fillId="6" borderId="2" xfId="0" applyFont="1" applyFill="1" applyBorder="1" applyAlignment="1">
      <alignment horizontal="center"/>
    </xf>
    <xf numFmtId="43" fontId="5" fillId="6" borderId="2" xfId="2" applyFont="1" applyFill="1" applyBorder="1"/>
    <xf numFmtId="165" fontId="5" fillId="6" borderId="2" xfId="2" applyNumberFormat="1" applyFont="1" applyFill="1" applyBorder="1"/>
    <xf numFmtId="3" fontId="0" fillId="6" borderId="2" xfId="0" applyNumberFormat="1" applyFill="1" applyBorder="1"/>
    <xf numFmtId="165" fontId="0" fillId="6" borderId="2" xfId="2" applyNumberFormat="1" applyFont="1" applyFill="1" applyBorder="1"/>
    <xf numFmtId="0" fontId="0" fillId="0" borderId="2" xfId="0" applyBorder="1" applyAlignment="1">
      <alignment wrapText="1"/>
    </xf>
    <xf numFmtId="164" fontId="0" fillId="0" borderId="2" xfId="0" applyNumberFormat="1" applyBorder="1"/>
    <xf numFmtId="0" fontId="5" fillId="0" borderId="2" xfId="0" applyFont="1" applyBorder="1"/>
    <xf numFmtId="43" fontId="2" fillId="0" borderId="2" xfId="0" applyNumberFormat="1" applyFont="1" applyBorder="1"/>
    <xf numFmtId="43" fontId="0" fillId="0" borderId="2" xfId="2" applyFont="1" applyFill="1" applyBorder="1"/>
    <xf numFmtId="43" fontId="6" fillId="0" borderId="2" xfId="2" applyFont="1" applyFill="1" applyBorder="1"/>
    <xf numFmtId="43" fontId="6" fillId="0" borderId="5" xfId="2" applyFont="1" applyFill="1" applyBorder="1"/>
    <xf numFmtId="43" fontId="5" fillId="0" borderId="2" xfId="2" applyFont="1" applyFill="1" applyBorder="1"/>
    <xf numFmtId="43" fontId="2" fillId="0" borderId="2" xfId="2" applyFont="1" applyFill="1" applyBorder="1"/>
    <xf numFmtId="0" fontId="3" fillId="2" borderId="2" xfId="0" applyFont="1" applyFill="1" applyBorder="1"/>
    <xf numFmtId="10" fontId="3" fillId="2" borderId="2" xfId="1" applyNumberFormat="1" applyFont="1" applyFill="1" applyBorder="1"/>
    <xf numFmtId="164" fontId="3" fillId="2" borderId="2" xfId="0" applyNumberFormat="1" applyFont="1" applyFill="1" applyBorder="1"/>
    <xf numFmtId="0" fontId="2" fillId="2" borderId="2" xfId="0" applyFont="1" applyFill="1" applyBorder="1"/>
    <xf numFmtId="9" fontId="3" fillId="2" borderId="2" xfId="1" applyFont="1" applyFill="1" applyBorder="1"/>
    <xf numFmtId="10" fontId="2" fillId="2" borderId="2" xfId="1" applyNumberFormat="1" applyFont="1" applyFill="1" applyBorder="1" applyAlignment="1">
      <alignment horizontal="right"/>
    </xf>
    <xf numFmtId="0" fontId="4" fillId="2" borderId="2" xfId="0" applyFont="1" applyFill="1" applyBorder="1"/>
    <xf numFmtId="0" fontId="0" fillId="2" borderId="2" xfId="0" applyFill="1" applyBorder="1"/>
    <xf numFmtId="10" fontId="0" fillId="2" borderId="2" xfId="1" applyNumberFormat="1" applyFont="1" applyFill="1" applyBorder="1"/>
    <xf numFmtId="2" fontId="2" fillId="2" borderId="2" xfId="0" applyNumberFormat="1" applyFont="1" applyFill="1" applyBorder="1"/>
    <xf numFmtId="43" fontId="2" fillId="2" borderId="5" xfId="0" applyNumberFormat="1" applyFont="1" applyFill="1" applyBorder="1"/>
    <xf numFmtId="0" fontId="5" fillId="2" borderId="2" xfId="0" applyFont="1" applyFill="1" applyBorder="1"/>
    <xf numFmtId="43" fontId="5" fillId="2" borderId="2" xfId="2" applyFont="1" applyFill="1" applyBorder="1"/>
    <xf numFmtId="165" fontId="2" fillId="2" borderId="2" xfId="2" applyNumberFormat="1" applyFont="1" applyFill="1" applyBorder="1"/>
    <xf numFmtId="43" fontId="5" fillId="0" borderId="5" xfId="2" applyFont="1" applyFill="1" applyBorder="1"/>
    <xf numFmtId="43" fontId="6" fillId="0" borderId="2" xfId="2" applyFont="1" applyFill="1" applyBorder="1" applyAlignment="1">
      <alignment horizontal="right"/>
    </xf>
    <xf numFmtId="43" fontId="9" fillId="0" borderId="2" xfId="2" applyFont="1" applyFill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2" fillId="0" borderId="2" xfId="0" applyNumberFormat="1" applyFont="1" applyFill="1" applyBorder="1"/>
    <xf numFmtId="43" fontId="0" fillId="0" borderId="2" xfId="0" applyNumberFormat="1" applyFill="1" applyBorder="1"/>
    <xf numFmtId="0" fontId="0" fillId="0" borderId="2" xfId="0" applyFill="1" applyBorder="1"/>
    <xf numFmtId="43" fontId="2" fillId="0" borderId="2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3" fontId="0" fillId="0" borderId="5" xfId="0" applyNumberFormat="1" applyFill="1" applyBorder="1"/>
    <xf numFmtId="0" fontId="0" fillId="0" borderId="10" xfId="0" applyFill="1" applyBorder="1"/>
    <xf numFmtId="0" fontId="5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3" fontId="0" fillId="0" borderId="2" xfId="0" applyNumberFormat="1" applyFill="1" applyBorder="1" applyAlignment="1">
      <alignment horizontal="right"/>
    </xf>
    <xf numFmtId="2" fontId="0" fillId="0" borderId="2" xfId="0" applyNumberFormat="1" applyFill="1" applyBorder="1"/>
    <xf numFmtId="10" fontId="6" fillId="0" borderId="2" xfId="1" applyNumberFormat="1" applyFont="1" applyFill="1" applyBorder="1"/>
    <xf numFmtId="2" fontId="6" fillId="0" borderId="2" xfId="0" applyNumberFormat="1" applyFont="1" applyFill="1" applyBorder="1"/>
    <xf numFmtId="1" fontId="0" fillId="0" borderId="2" xfId="0" applyNumberFormat="1" applyFill="1" applyBorder="1"/>
    <xf numFmtId="2" fontId="6" fillId="0" borderId="2" xfId="1" applyNumberFormat="1" applyFont="1" applyFill="1" applyBorder="1"/>
    <xf numFmtId="0" fontId="0" fillId="0" borderId="2" xfId="0" applyFill="1" applyBorder="1" applyAlignment="1">
      <alignment horizontal="center"/>
    </xf>
  </cellXfs>
  <cellStyles count="5">
    <cellStyle name="20% - Accent1" xfId="3" builtinId="30"/>
    <cellStyle name="Comma" xfId="2" builtinId="3"/>
    <cellStyle name="Comma 2" xfId="4"/>
    <cellStyle name="Normal" xfId="0" builtinId="0"/>
    <cellStyle name="Percent" xfId="1" builtinId="5"/>
  </cellStyles>
  <dxfs count="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2" displayName="Table2" ref="A1:B13" totalsRowShown="0" headerRowDxfId="5" headerRowBorderDxfId="4" tableBorderDxfId="3" totalsRowBorderDxfId="2" headerRowCellStyle="20% - Accent1" dataCellStyle="20% - Accent1">
  <autoFilter ref="A1:B13"/>
  <tableColumns count="2">
    <tableColumn id="1" name="Column1" dataDxfId="1" dataCellStyle="20% - Accent1"/>
    <tableColumn id="2" name="Column2" dataDxfId="0" dataCellStyle="20% - Accent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72"/>
  <sheetViews>
    <sheetView tabSelected="1" zoomScale="90" zoomScaleNormal="90" workbookViewId="0">
      <selection activeCell="W64" sqref="W64"/>
    </sheetView>
  </sheetViews>
  <sheetFormatPr defaultRowHeight="15"/>
  <cols>
    <col min="1" max="1" width="4.140625" customWidth="1"/>
    <col min="2" max="2" width="44.42578125" customWidth="1"/>
    <col min="3" max="5" width="15.140625" hidden="1" customWidth="1"/>
    <col min="6" max="6" width="18.7109375" bestFit="1" customWidth="1"/>
    <col min="7" max="8" width="16.28515625" bestFit="1" customWidth="1"/>
    <col min="9" max="10" width="16.28515625" customWidth="1"/>
    <col min="11" max="11" width="16.28515625" bestFit="1" customWidth="1"/>
    <col min="12" max="12" width="10.7109375" style="49" customWidth="1"/>
    <col min="13" max="13" width="52.7109375" bestFit="1" customWidth="1"/>
    <col min="14" max="17" width="14" hidden="1" customWidth="1"/>
    <col min="18" max="19" width="14" bestFit="1" customWidth="1"/>
    <col min="20" max="20" width="13.5703125" bestFit="1" customWidth="1"/>
    <col min="21" max="21" width="15.7109375" bestFit="1" customWidth="1"/>
    <col min="22" max="22" width="15.5703125" bestFit="1" customWidth="1"/>
    <col min="23" max="23" width="14.85546875" customWidth="1"/>
    <col min="24" max="24" width="20" bestFit="1" customWidth="1"/>
    <col min="25" max="25" width="14.85546875" bestFit="1" customWidth="1"/>
  </cols>
  <sheetData>
    <row r="1" spans="1:25" ht="15.75">
      <c r="B1" s="104" t="s">
        <v>148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</row>
    <row r="2" spans="1:25">
      <c r="B2" s="103" t="s">
        <v>0</v>
      </c>
      <c r="C2" s="103"/>
      <c r="D2" s="103"/>
      <c r="E2" s="103"/>
      <c r="F2" s="103"/>
      <c r="G2" s="103"/>
      <c r="H2" s="103"/>
      <c r="I2" s="103"/>
      <c r="J2" s="103"/>
      <c r="K2" s="103"/>
      <c r="M2" s="102" t="s">
        <v>26</v>
      </c>
      <c r="N2" s="102"/>
      <c r="O2" s="102"/>
      <c r="P2" s="102"/>
      <c r="Q2" s="102"/>
      <c r="R2" s="102"/>
      <c r="S2" s="102"/>
      <c r="T2" s="102"/>
      <c r="U2" s="102"/>
      <c r="V2" s="102"/>
      <c r="W2" s="102"/>
    </row>
    <row r="3" spans="1:25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107</v>
      </c>
      <c r="I3" s="2" t="s">
        <v>143</v>
      </c>
      <c r="J3" s="2" t="s">
        <v>145</v>
      </c>
      <c r="K3" s="2" t="s">
        <v>149</v>
      </c>
      <c r="L3" s="50"/>
      <c r="M3" s="1" t="s">
        <v>1</v>
      </c>
      <c r="N3" s="2" t="s">
        <v>106</v>
      </c>
      <c r="O3" s="2" t="s">
        <v>2</v>
      </c>
      <c r="P3" s="9" t="s">
        <v>3</v>
      </c>
      <c r="Q3" s="9" t="s">
        <v>4</v>
      </c>
      <c r="R3" s="9" t="s">
        <v>5</v>
      </c>
      <c r="S3" s="9" t="s">
        <v>6</v>
      </c>
      <c r="T3" s="9" t="s">
        <v>107</v>
      </c>
      <c r="U3" s="2" t="s">
        <v>143</v>
      </c>
      <c r="V3" s="9" t="s">
        <v>145</v>
      </c>
      <c r="W3" s="2" t="s">
        <v>149</v>
      </c>
    </row>
    <row r="4" spans="1:25">
      <c r="B4" s="1" t="s">
        <v>9</v>
      </c>
      <c r="C4" s="61">
        <v>4009.9270000000001</v>
      </c>
      <c r="D4" s="61">
        <v>4146.79</v>
      </c>
      <c r="E4" s="61">
        <v>4772.8109999999997</v>
      </c>
      <c r="F4" s="79">
        <v>3717.39</v>
      </c>
      <c r="G4" s="79">
        <v>2534.067</v>
      </c>
      <c r="H4" s="79">
        <v>6974.9939999999997</v>
      </c>
      <c r="I4" s="79">
        <f>3392.31*10</f>
        <v>33923.1</v>
      </c>
      <c r="J4" s="84">
        <f>64810.1+436.4</f>
        <v>65246.5</v>
      </c>
      <c r="K4" s="84">
        <f>66263.1+950.9</f>
        <v>67214</v>
      </c>
      <c r="L4" s="51"/>
      <c r="M4" s="3" t="s">
        <v>27</v>
      </c>
      <c r="N4" s="3">
        <v>224.30500000000001</v>
      </c>
      <c r="O4" s="7">
        <v>224.30500000000001</v>
      </c>
      <c r="P4" s="7">
        <v>224.30500000000001</v>
      </c>
      <c r="Q4" s="7">
        <v>224.30500000000001</v>
      </c>
      <c r="R4" s="80">
        <v>226.90100000000001</v>
      </c>
      <c r="S4" s="80">
        <v>253.47200000000001</v>
      </c>
      <c r="T4" s="80">
        <v>370.44200000000001</v>
      </c>
      <c r="U4" s="80">
        <f>50.48*10</f>
        <v>504.79999999999995</v>
      </c>
      <c r="V4" s="80">
        <v>505.3</v>
      </c>
      <c r="W4" s="80">
        <v>523.20000000000005</v>
      </c>
    </row>
    <row r="5" spans="1:25">
      <c r="B5" s="1" t="s">
        <v>18</v>
      </c>
      <c r="C5" s="61">
        <v>139.21199999999999</v>
      </c>
      <c r="D5" s="61">
        <v>246.834</v>
      </c>
      <c r="E5" s="61">
        <v>308.42</v>
      </c>
      <c r="F5" s="79">
        <v>256.23099999999999</v>
      </c>
      <c r="G5" s="79">
        <v>199.02500000000001</v>
      </c>
      <c r="H5" s="79">
        <v>297.536</v>
      </c>
      <c r="I5" s="79">
        <f>74.46*10</f>
        <v>744.59999999999991</v>
      </c>
      <c r="J5" s="105">
        <v>499.4</v>
      </c>
      <c r="K5" s="105">
        <v>512.20000000000005</v>
      </c>
      <c r="L5" s="52"/>
      <c r="M5" s="3" t="s">
        <v>28</v>
      </c>
      <c r="N5" s="3">
        <v>395.4</v>
      </c>
      <c r="O5" s="14">
        <f>775.621-323.689</f>
        <v>451.93199999999996</v>
      </c>
      <c r="P5" s="14">
        <v>620.03800000000001</v>
      </c>
      <c r="Q5" s="14">
        <v>858.23</v>
      </c>
      <c r="R5" s="81">
        <v>1217.154</v>
      </c>
      <c r="S5" s="81">
        <v>1567.5809999999999</v>
      </c>
      <c r="T5" s="80">
        <v>4446.0659999999998</v>
      </c>
      <c r="U5" s="80">
        <f>1478.47*10</f>
        <v>14784.7</v>
      </c>
      <c r="V5" s="81">
        <v>27603.4</v>
      </c>
      <c r="W5" s="81">
        <v>63498</v>
      </c>
    </row>
    <row r="6" spans="1:25">
      <c r="B6" s="1" t="s">
        <v>121</v>
      </c>
      <c r="C6" s="61">
        <f t="shared" ref="C6:H6" si="0">C4+C5</f>
        <v>4149.1390000000001</v>
      </c>
      <c r="D6" s="61">
        <f t="shared" si="0"/>
        <v>4393.6239999999998</v>
      </c>
      <c r="E6" s="61">
        <f t="shared" si="0"/>
        <v>5081.2309999999998</v>
      </c>
      <c r="F6" s="79">
        <f t="shared" si="0"/>
        <v>3973.6210000000001</v>
      </c>
      <c r="G6" s="79">
        <f t="shared" si="0"/>
        <v>2733.0920000000001</v>
      </c>
      <c r="H6" s="79">
        <f t="shared" si="0"/>
        <v>7272.53</v>
      </c>
      <c r="I6" s="79">
        <f>I4+I5</f>
        <v>34667.699999999997</v>
      </c>
      <c r="J6" s="105">
        <f>J4+J5</f>
        <v>65745.899999999994</v>
      </c>
      <c r="K6" s="105">
        <f>K4+K5</f>
        <v>67726.2</v>
      </c>
      <c r="L6" s="52"/>
      <c r="M6" s="88" t="s">
        <v>29</v>
      </c>
      <c r="N6" s="8">
        <f>N4+N5</f>
        <v>619.70499999999993</v>
      </c>
      <c r="O6" s="8">
        <f>O4+O5</f>
        <v>676.23699999999997</v>
      </c>
      <c r="P6" s="8">
        <f t="shared" ref="P6:Q6" si="1">P4+P5</f>
        <v>844.34300000000007</v>
      </c>
      <c r="Q6" s="8">
        <f t="shared" si="1"/>
        <v>1082.5350000000001</v>
      </c>
      <c r="R6" s="48">
        <f t="shared" ref="R6:W6" si="2">R4+R5</f>
        <v>1444.0550000000001</v>
      </c>
      <c r="S6" s="48">
        <f t="shared" si="2"/>
        <v>1821.0529999999999</v>
      </c>
      <c r="T6" s="48">
        <f t="shared" si="2"/>
        <v>4816.5079999999998</v>
      </c>
      <c r="U6" s="48">
        <f t="shared" si="2"/>
        <v>15289.5</v>
      </c>
      <c r="V6" s="48">
        <f t="shared" si="2"/>
        <v>28108.7</v>
      </c>
      <c r="W6" s="48">
        <f>W4+W5</f>
        <v>64021.2</v>
      </c>
    </row>
    <row r="7" spans="1:25">
      <c r="B7" s="85" t="s">
        <v>10</v>
      </c>
      <c r="C7" s="86"/>
      <c r="D7" s="86">
        <f t="shared" ref="D7:F7" si="3">D4/C4-1</f>
        <v>3.413104527838029E-2</v>
      </c>
      <c r="E7" s="86">
        <f t="shared" si="3"/>
        <v>0.15096520441112271</v>
      </c>
      <c r="F7" s="86">
        <f t="shared" si="3"/>
        <v>-0.2211319492852325</v>
      </c>
      <c r="G7" s="86">
        <f>G6/F6-1</f>
        <v>-0.31219107207255048</v>
      </c>
      <c r="H7" s="86">
        <f t="shared" ref="H7:K7" si="4">H6/G6-1</f>
        <v>1.6609166467868626</v>
      </c>
      <c r="I7" s="86">
        <f t="shared" si="4"/>
        <v>3.7669380531946928</v>
      </c>
      <c r="J7" s="86">
        <f>J6/I6-1</f>
        <v>0.89645981706314526</v>
      </c>
      <c r="K7" s="86">
        <f>K6/J6-1</f>
        <v>3.0120509415796359E-2</v>
      </c>
      <c r="L7" s="53"/>
      <c r="M7" s="3" t="s">
        <v>30</v>
      </c>
      <c r="N7" s="3"/>
      <c r="O7" s="7"/>
      <c r="P7" s="7"/>
      <c r="Q7" s="7"/>
      <c r="R7" s="80"/>
      <c r="S7" s="80"/>
      <c r="T7" s="80"/>
      <c r="U7" s="80"/>
      <c r="V7" s="80" t="s">
        <v>131</v>
      </c>
      <c r="W7" s="80"/>
    </row>
    <row r="8" spans="1:25">
      <c r="B8" s="85" t="s">
        <v>11</v>
      </c>
      <c r="C8" s="87"/>
      <c r="D8" s="87"/>
      <c r="E8" s="86"/>
      <c r="F8" s="86">
        <f t="shared" ref="F8:J8" si="5">(F4/C4)^(1/3)-1</f>
        <v>-2.4934283947248281E-2</v>
      </c>
      <c r="G8" s="86">
        <f t="shared" si="5"/>
        <v>-0.15140197451009241</v>
      </c>
      <c r="H8" s="86">
        <f t="shared" si="5"/>
        <v>0.13481012099794154</v>
      </c>
      <c r="I8" s="86">
        <f>(I4/F4)^(1/3)-1</f>
        <v>1.0897089467974355</v>
      </c>
      <c r="J8" s="86">
        <f>(J4/G4)^(1/3)-1</f>
        <v>1.9528839244504015</v>
      </c>
      <c r="K8" s="86">
        <f>(K4/H4)^(1/3)-1</f>
        <v>1.128001686251888</v>
      </c>
      <c r="L8" s="53"/>
      <c r="M8" s="16" t="s">
        <v>31</v>
      </c>
      <c r="N8" s="3">
        <v>100.441</v>
      </c>
      <c r="O8" s="14">
        <v>92.906000000000006</v>
      </c>
      <c r="P8" s="14">
        <v>100.339</v>
      </c>
      <c r="Q8" s="14">
        <v>826.18</v>
      </c>
      <c r="R8" s="81">
        <v>808.95699999999999</v>
      </c>
      <c r="S8" s="81">
        <v>931.66200000000003</v>
      </c>
      <c r="T8" s="80">
        <v>567.19899999999996</v>
      </c>
      <c r="U8" s="80">
        <v>0</v>
      </c>
      <c r="V8" s="81">
        <v>0</v>
      </c>
      <c r="W8" s="81">
        <v>7539.1</v>
      </c>
    </row>
    <row r="9" spans="1:25">
      <c r="B9" s="88" t="s">
        <v>125</v>
      </c>
      <c r="C9" s="8">
        <f t="shared" ref="C9:H9" si="6">SUM(C10:C14)</f>
        <v>3862.0460000000003</v>
      </c>
      <c r="D9" s="8">
        <f t="shared" si="6"/>
        <v>3982.3440000000001</v>
      </c>
      <c r="E9" s="8">
        <f t="shared" si="6"/>
        <v>4615.2439999999997</v>
      </c>
      <c r="F9" s="8">
        <f t="shared" si="6"/>
        <v>3506.1059999999998</v>
      </c>
      <c r="G9" s="8">
        <f t="shared" si="6"/>
        <v>2425.3489999999997</v>
      </c>
      <c r="H9" s="8">
        <f t="shared" si="6"/>
        <v>5519.6660000000011</v>
      </c>
      <c r="I9" s="8">
        <f>SUM(I10:I14)</f>
        <v>25820.1</v>
      </c>
      <c r="J9" s="8">
        <f>SUM(J10:J14)</f>
        <v>47933.9</v>
      </c>
      <c r="K9" s="8">
        <f>SUM(K10:K14)</f>
        <v>47684.899999999994</v>
      </c>
      <c r="L9" s="52"/>
      <c r="M9" s="16" t="s">
        <v>130</v>
      </c>
      <c r="N9" s="3">
        <v>19.349</v>
      </c>
      <c r="O9" s="14">
        <v>167.441</v>
      </c>
      <c r="P9" s="14">
        <v>191.47900000000001</v>
      </c>
      <c r="Q9" s="14">
        <v>26.709</v>
      </c>
      <c r="R9" s="81">
        <v>179.881</v>
      </c>
      <c r="S9" s="81">
        <v>96.936000000000007</v>
      </c>
      <c r="T9" s="80">
        <v>0</v>
      </c>
      <c r="U9" s="80">
        <v>0</v>
      </c>
      <c r="V9" s="81">
        <v>0</v>
      </c>
      <c r="W9" s="81">
        <v>18.399999999999999</v>
      </c>
    </row>
    <row r="10" spans="1:25">
      <c r="B10" s="3" t="s">
        <v>146</v>
      </c>
      <c r="C10" s="62">
        <v>2457.616</v>
      </c>
      <c r="D10" s="62">
        <v>3033.556</v>
      </c>
      <c r="E10" s="62">
        <v>3784.3629999999998</v>
      </c>
      <c r="F10" s="7">
        <v>2976.491</v>
      </c>
      <c r="G10" s="7">
        <v>2174.2739999999999</v>
      </c>
      <c r="H10" s="7">
        <v>3732.748</v>
      </c>
      <c r="I10" s="7">
        <f>504.35*10</f>
        <v>5043.5</v>
      </c>
      <c r="J10" s="106">
        <f>32397.7+5366.2</f>
        <v>37763.9</v>
      </c>
      <c r="K10" s="106">
        <f>5334.1+33239.6</f>
        <v>38573.699999999997</v>
      </c>
      <c r="L10" s="54"/>
      <c r="M10" s="3"/>
      <c r="N10" s="3"/>
      <c r="O10" s="15"/>
      <c r="P10" s="15"/>
      <c r="Q10" s="15"/>
      <c r="R10" s="81"/>
      <c r="S10" s="81"/>
      <c r="T10" s="80"/>
      <c r="U10" s="80"/>
      <c r="V10" s="80"/>
      <c r="W10" s="80"/>
    </row>
    <row r="11" spans="1:25" ht="30">
      <c r="A11" s="17"/>
      <c r="B11" s="76" t="s">
        <v>122</v>
      </c>
      <c r="C11" s="62">
        <v>-77.432000000000002</v>
      </c>
      <c r="D11" s="62">
        <v>-69.936999999999998</v>
      </c>
      <c r="E11" s="62">
        <v>-31.567</v>
      </c>
      <c r="F11" s="7">
        <v>-97.744</v>
      </c>
      <c r="G11" s="7">
        <v>-144.501</v>
      </c>
      <c r="H11" s="7">
        <v>-603.99199999999996</v>
      </c>
      <c r="I11" s="7">
        <f>35.78*10</f>
        <v>357.8</v>
      </c>
      <c r="J11" s="106">
        <v>-148.9</v>
      </c>
      <c r="K11" s="106">
        <v>904.1</v>
      </c>
      <c r="L11" s="54"/>
      <c r="M11" s="88" t="s">
        <v>32</v>
      </c>
      <c r="N11" s="8">
        <f>N8+N9</f>
        <v>119.79</v>
      </c>
      <c r="O11" s="8">
        <f>O8+O9</f>
        <v>260.34699999999998</v>
      </c>
      <c r="P11" s="8">
        <f>P8+P9</f>
        <v>291.81799999999998</v>
      </c>
      <c r="Q11" s="8">
        <f t="shared" ref="Q11" si="7">Q8+Q9</f>
        <v>852.8889999999999</v>
      </c>
      <c r="R11" s="48">
        <f>R8+R9</f>
        <v>988.83799999999997</v>
      </c>
      <c r="S11" s="48">
        <f>S8+S9</f>
        <v>1028.598</v>
      </c>
      <c r="T11" s="48">
        <f>T8+T9</f>
        <v>567.19899999999996</v>
      </c>
      <c r="U11" s="48">
        <f t="shared" ref="U11:W11" si="8">U8+U9</f>
        <v>0</v>
      </c>
      <c r="V11" s="48">
        <f t="shared" si="8"/>
        <v>0</v>
      </c>
      <c r="W11" s="48">
        <f>W8+W9</f>
        <v>7557.5</v>
      </c>
    </row>
    <row r="12" spans="1:25">
      <c r="B12" s="77" t="s">
        <v>123</v>
      </c>
      <c r="C12" s="62">
        <v>581.35699999999997</v>
      </c>
      <c r="D12" s="62">
        <v>307.06099999999998</v>
      </c>
      <c r="E12" s="62">
        <v>89.522999999999996</v>
      </c>
      <c r="F12" s="7"/>
      <c r="G12" s="7">
        <v>0</v>
      </c>
      <c r="H12" s="7">
        <v>0</v>
      </c>
      <c r="I12" s="7"/>
      <c r="J12" s="80">
        <v>3702.3</v>
      </c>
      <c r="K12" s="80">
        <v>1822.4</v>
      </c>
      <c r="L12" s="55"/>
      <c r="M12" s="88" t="s">
        <v>33</v>
      </c>
      <c r="N12" s="45">
        <f t="shared" ref="N12:S12" si="9">N6+N7+N8+SUM(N45:N50)</f>
        <v>3923.0780000000004</v>
      </c>
      <c r="O12" s="45">
        <f t="shared" si="9"/>
        <v>4120.41</v>
      </c>
      <c r="P12" s="45">
        <f t="shared" si="9"/>
        <v>4618.2160000000003</v>
      </c>
      <c r="Q12" s="45">
        <f t="shared" si="9"/>
        <v>5009.0509999999995</v>
      </c>
      <c r="R12" s="48">
        <f t="shared" si="9"/>
        <v>5092.6200000000008</v>
      </c>
      <c r="S12" s="48">
        <f t="shared" si="9"/>
        <v>5638.1980000000003</v>
      </c>
      <c r="T12" s="48">
        <f>T6+T7+T8+SUM(T45:T50)</f>
        <v>7055.9789999999994</v>
      </c>
      <c r="U12" s="48">
        <f>U6+U7+U8+SUM(U45:U50)</f>
        <v>15537</v>
      </c>
      <c r="V12" s="48">
        <f>V6+V45+V49+V50</f>
        <v>29516.000000000004</v>
      </c>
      <c r="W12" s="48">
        <f>W6+W45+W49+W50+W8</f>
        <v>73026.799999999988</v>
      </c>
    </row>
    <row r="13" spans="1:25">
      <c r="B13" s="3" t="s">
        <v>13</v>
      </c>
      <c r="C13" s="62">
        <v>153.47800000000001</v>
      </c>
      <c r="D13" s="62">
        <v>160.946</v>
      </c>
      <c r="E13" s="62">
        <v>217.363</v>
      </c>
      <c r="F13" s="7">
        <v>227.10900000000001</v>
      </c>
      <c r="G13" s="7">
        <v>146.93100000000001</v>
      </c>
      <c r="H13" s="7">
        <v>183.523</v>
      </c>
      <c r="I13" s="7">
        <f>54.26*10</f>
        <v>542.6</v>
      </c>
      <c r="J13" s="106">
        <v>1177.5999999999999</v>
      </c>
      <c r="K13" s="106">
        <v>1632.7</v>
      </c>
      <c r="L13" s="54"/>
      <c r="M13" s="88" t="s">
        <v>33</v>
      </c>
      <c r="N13" s="45">
        <f t="shared" ref="N13:R13" si="10">N51-N36-N9</f>
        <v>3923.0780000000004</v>
      </c>
      <c r="O13" s="45">
        <f t="shared" si="10"/>
        <v>4120.4070000000002</v>
      </c>
      <c r="P13" s="45">
        <f t="shared" si="10"/>
        <v>4618.2180999999991</v>
      </c>
      <c r="Q13" s="45">
        <f t="shared" si="10"/>
        <v>5009.0510000000004</v>
      </c>
      <c r="R13" s="48">
        <f t="shared" si="10"/>
        <v>5092.619999999999</v>
      </c>
      <c r="S13" s="48">
        <f>S51-S36-S9</f>
        <v>5638.2009999999991</v>
      </c>
      <c r="T13" s="48">
        <f>T51-T36-T9</f>
        <v>7055.8998000000001</v>
      </c>
      <c r="U13" s="48">
        <f>U51-U36-U9</f>
        <v>15537.099999999995</v>
      </c>
      <c r="V13" s="48">
        <f>V51-V36-V9</f>
        <v>29516.000000000007</v>
      </c>
      <c r="W13" s="48">
        <f>W51-W36-W9</f>
        <v>73026.8</v>
      </c>
      <c r="Y13" s="17"/>
    </row>
    <row r="14" spans="1:25">
      <c r="A14" s="17"/>
      <c r="B14" s="3" t="s">
        <v>126</v>
      </c>
      <c r="C14" s="62">
        <f>426.534+320.493</f>
        <v>747.02700000000004</v>
      </c>
      <c r="D14" s="62">
        <f>430.104 +120.614</f>
        <v>550.71799999999996</v>
      </c>
      <c r="E14" s="62">
        <v>555.56200000000001</v>
      </c>
      <c r="F14" s="7">
        <v>400.25</v>
      </c>
      <c r="G14" s="7">
        <v>248.64500000000001</v>
      </c>
      <c r="H14" s="7">
        <v>2207.3870000000002</v>
      </c>
      <c r="I14" s="7">
        <f>1987.62*10</f>
        <v>19876.199999999997</v>
      </c>
      <c r="J14" s="106">
        <v>5439</v>
      </c>
      <c r="K14" s="106">
        <v>4752</v>
      </c>
      <c r="L14" s="54"/>
      <c r="M14" s="3"/>
      <c r="N14" s="3"/>
      <c r="O14" s="7"/>
      <c r="P14" s="7"/>
      <c r="Q14" s="7"/>
      <c r="R14" s="80"/>
      <c r="S14" s="80"/>
      <c r="T14" s="80"/>
      <c r="U14" s="80"/>
      <c r="V14" s="80"/>
      <c r="W14" s="80"/>
      <c r="Y14" s="17"/>
    </row>
    <row r="15" spans="1:25">
      <c r="B15" s="88" t="s">
        <v>14</v>
      </c>
      <c r="C15" s="8">
        <f t="shared" ref="C15:H15" si="11">C4-C9</f>
        <v>147.88099999999986</v>
      </c>
      <c r="D15" s="8">
        <f t="shared" si="11"/>
        <v>164.44599999999991</v>
      </c>
      <c r="E15" s="8">
        <f t="shared" si="11"/>
        <v>157.56700000000001</v>
      </c>
      <c r="F15" s="8">
        <f t="shared" si="11"/>
        <v>211.28400000000011</v>
      </c>
      <c r="G15" s="8">
        <f>G4-G9</f>
        <v>108.7180000000003</v>
      </c>
      <c r="H15" s="8">
        <f t="shared" si="11"/>
        <v>1455.3279999999986</v>
      </c>
      <c r="I15" s="8">
        <f>I4-I9</f>
        <v>8103</v>
      </c>
      <c r="J15" s="8">
        <f>J4-J9</f>
        <v>17312.599999999999</v>
      </c>
      <c r="K15" s="8">
        <f>K6-K9</f>
        <v>20041.300000000003</v>
      </c>
      <c r="L15" s="52"/>
      <c r="M15" s="3"/>
      <c r="N15" s="3"/>
      <c r="O15" s="7"/>
      <c r="P15" s="7"/>
      <c r="Q15" s="7"/>
      <c r="R15" s="80"/>
      <c r="S15" s="80"/>
      <c r="T15" s="80"/>
      <c r="U15" s="80"/>
      <c r="V15" s="80"/>
      <c r="W15" s="80"/>
    </row>
    <row r="16" spans="1:25">
      <c r="B16" s="85" t="s">
        <v>10</v>
      </c>
      <c r="C16" s="86"/>
      <c r="D16" s="86">
        <f t="shared" ref="D16:I16" si="12">D15/C15-1</f>
        <v>0.11201574238746059</v>
      </c>
      <c r="E16" s="86">
        <f t="shared" si="12"/>
        <v>-4.1831361054692207E-2</v>
      </c>
      <c r="F16" s="86">
        <f t="shared" si="12"/>
        <v>0.3409152931768713</v>
      </c>
      <c r="G16" s="86">
        <f t="shared" si="12"/>
        <v>-0.48544139641430373</v>
      </c>
      <c r="H16" s="86">
        <f t="shared" si="12"/>
        <v>12.386265383837033</v>
      </c>
      <c r="I16" s="86">
        <f t="shared" si="12"/>
        <v>4.5678170144462333</v>
      </c>
      <c r="J16" s="86">
        <f>J15/I15-1</f>
        <v>1.1365667036899914</v>
      </c>
      <c r="K16" s="86">
        <f>K15/J15-1</f>
        <v>0.15761353003015177</v>
      </c>
      <c r="L16" s="53"/>
      <c r="M16" s="88" t="s">
        <v>34</v>
      </c>
      <c r="N16" s="8">
        <f>SUM(N17:N24)</f>
        <v>3388.576</v>
      </c>
      <c r="O16" s="8">
        <f>SUM(O17:O24)</f>
        <v>3673.0050000000001</v>
      </c>
      <c r="P16" s="8">
        <f t="shared" ref="P16:R16" si="13">SUM(P17:P24)</f>
        <v>4098.7659999999996</v>
      </c>
      <c r="Q16" s="8">
        <f t="shared" si="13"/>
        <v>3951.326</v>
      </c>
      <c r="R16" s="48">
        <f t="shared" si="13"/>
        <v>4358.0679999999993</v>
      </c>
      <c r="S16" s="48">
        <f>SUM(S17:S24)</f>
        <v>4659.7999999999993</v>
      </c>
      <c r="T16" s="48">
        <f>SUM(T17:T24)</f>
        <v>5148.582800000001</v>
      </c>
      <c r="U16" s="48">
        <f>SUM(U17:U24)</f>
        <v>10792.1</v>
      </c>
      <c r="V16" s="48">
        <f>SUM(V17:V24)</f>
        <v>28101.200000000004</v>
      </c>
      <c r="W16" s="48">
        <f>SUM(W17:W24)</f>
        <v>63967.1</v>
      </c>
    </row>
    <row r="17" spans="1:24">
      <c r="B17" s="85" t="s">
        <v>11</v>
      </c>
      <c r="C17" s="86"/>
      <c r="D17" s="86"/>
      <c r="E17" s="86"/>
      <c r="F17" s="86">
        <f t="shared" ref="F17:K17" si="14">(F15/C15)^(1/3)-1</f>
        <v>0.12629306634304482</v>
      </c>
      <c r="G17" s="86">
        <f t="shared" si="14"/>
        <v>-0.12885045639612913</v>
      </c>
      <c r="H17" s="86">
        <f t="shared" si="14"/>
        <v>1.09812748478394</v>
      </c>
      <c r="I17" s="86">
        <f t="shared" si="14"/>
        <v>2.3723016074265635</v>
      </c>
      <c r="J17" s="86">
        <f>(J15/G15)^(1/3)-1</f>
        <v>4.4202620072126209</v>
      </c>
      <c r="K17" s="86">
        <f>(K15/H15)^(1/3)-1</f>
        <v>1.3969280697013353</v>
      </c>
      <c r="L17" s="53"/>
      <c r="M17" s="3" t="s">
        <v>35</v>
      </c>
      <c r="N17" s="3">
        <v>2926.5940000000001</v>
      </c>
      <c r="O17" s="14">
        <v>3198.8820000000001</v>
      </c>
      <c r="P17" s="14">
        <v>3482.3519999999999</v>
      </c>
      <c r="Q17" s="14">
        <v>3581.7649999999999</v>
      </c>
      <c r="R17" s="81">
        <v>3709.4580000000001</v>
      </c>
      <c r="S17" s="80">
        <v>3608.8629999999998</v>
      </c>
      <c r="T17" s="80">
        <v>3990.6669999999999</v>
      </c>
      <c r="U17" s="80">
        <f>474.6*10</f>
        <v>4746</v>
      </c>
      <c r="V17" s="80">
        <v>11567.5</v>
      </c>
      <c r="W17" s="80">
        <v>15315.1</v>
      </c>
    </row>
    <row r="18" spans="1:24">
      <c r="B18" s="88" t="s">
        <v>15</v>
      </c>
      <c r="C18" s="4">
        <f t="shared" ref="C18:I18" si="15">C15/C4</f>
        <v>3.6878726221200496E-2</v>
      </c>
      <c r="D18" s="4">
        <f t="shared" si="15"/>
        <v>3.9656216012867763E-2</v>
      </c>
      <c r="E18" s="4">
        <f t="shared" si="15"/>
        <v>3.3013458944844039E-2</v>
      </c>
      <c r="F18" s="4">
        <f t="shared" si="15"/>
        <v>5.6836651521632142E-2</v>
      </c>
      <c r="G18" s="4">
        <f t="shared" si="15"/>
        <v>4.2902575188422526E-2</v>
      </c>
      <c r="H18" s="4">
        <f t="shared" si="15"/>
        <v>0.20864935511055618</v>
      </c>
      <c r="I18" s="4">
        <f t="shared" si="15"/>
        <v>0.23886378308586187</v>
      </c>
      <c r="J18" s="4">
        <f>J15/J4</f>
        <v>0.26534143593909248</v>
      </c>
      <c r="K18" s="4">
        <f>K15/K4</f>
        <v>0.29817151188740443</v>
      </c>
      <c r="L18" s="56"/>
      <c r="M18" s="3" t="s">
        <v>36</v>
      </c>
      <c r="N18" s="3"/>
      <c r="O18" s="14">
        <v>0</v>
      </c>
      <c r="P18" s="14">
        <v>0</v>
      </c>
      <c r="Q18" s="14">
        <v>0</v>
      </c>
      <c r="R18" s="100">
        <v>0</v>
      </c>
      <c r="S18" s="81">
        <v>0</v>
      </c>
      <c r="T18" s="80">
        <v>0</v>
      </c>
      <c r="U18" s="80">
        <v>0</v>
      </c>
      <c r="V18" s="80">
        <v>0</v>
      </c>
      <c r="W18" s="80">
        <v>0</v>
      </c>
    </row>
    <row r="19" spans="1:24">
      <c r="B19" s="3" t="s">
        <v>76</v>
      </c>
      <c r="C19" s="62">
        <v>129.73400000000001</v>
      </c>
      <c r="D19" s="62">
        <v>136.80099999999999</v>
      </c>
      <c r="E19" s="62">
        <v>150.78200000000001</v>
      </c>
      <c r="F19" s="7">
        <v>175.54</v>
      </c>
      <c r="G19" s="7">
        <v>138.25299999999999</v>
      </c>
      <c r="H19" s="7">
        <v>179.84899999999999</v>
      </c>
      <c r="I19" s="7">
        <f>23*10</f>
        <v>230</v>
      </c>
      <c r="J19" s="106">
        <v>489.9</v>
      </c>
      <c r="K19" s="106">
        <v>808</v>
      </c>
      <c r="L19" s="54"/>
      <c r="M19" s="3" t="s">
        <v>37</v>
      </c>
      <c r="N19" s="3">
        <v>72.564999999999998</v>
      </c>
      <c r="O19" s="14">
        <v>84.587999999999994</v>
      </c>
      <c r="P19" s="14">
        <v>229.917</v>
      </c>
      <c r="Q19" s="14">
        <v>361.96699999999998</v>
      </c>
      <c r="R19" s="81">
        <v>423.65899999999999</v>
      </c>
      <c r="S19" s="81">
        <v>847.1</v>
      </c>
      <c r="T19" s="80">
        <v>858.803</v>
      </c>
      <c r="U19" s="80">
        <f>373.1*10</f>
        <v>3731</v>
      </c>
      <c r="V19" s="81">
        <v>12681.5</v>
      </c>
      <c r="W19" s="81">
        <v>41810.699999999997</v>
      </c>
    </row>
    <row r="20" spans="1:24">
      <c r="B20" s="3" t="s">
        <v>141</v>
      </c>
      <c r="C20" s="62">
        <v>0</v>
      </c>
      <c r="D20" s="62"/>
      <c r="E20" s="62"/>
      <c r="F20" s="7"/>
      <c r="G20" s="7"/>
      <c r="H20" s="7"/>
      <c r="I20" s="7"/>
      <c r="J20" s="107"/>
      <c r="K20" s="107"/>
      <c r="M20" s="3" t="s">
        <v>64</v>
      </c>
      <c r="N20" s="3"/>
      <c r="O20" s="7">
        <v>0</v>
      </c>
      <c r="P20" s="7">
        <v>0</v>
      </c>
      <c r="Q20" s="7">
        <v>0</v>
      </c>
      <c r="R20" s="80">
        <v>29.815000000000001</v>
      </c>
      <c r="S20" s="80">
        <v>7.883</v>
      </c>
      <c r="T20" s="80">
        <v>6.0279999999999996</v>
      </c>
      <c r="U20" s="80">
        <f>57.77*10</f>
        <v>577.70000000000005</v>
      </c>
      <c r="V20" s="80">
        <v>779.5</v>
      </c>
      <c r="W20" s="80">
        <v>810</v>
      </c>
    </row>
    <row r="21" spans="1:24">
      <c r="A21" s="17"/>
      <c r="B21" s="3" t="s">
        <v>17</v>
      </c>
      <c r="C21" s="62">
        <v>101.639</v>
      </c>
      <c r="D21" s="62">
        <v>104.13800000000001</v>
      </c>
      <c r="E21" s="62">
        <v>108.872</v>
      </c>
      <c r="F21" s="7">
        <v>161.03800000000001</v>
      </c>
      <c r="G21" s="7">
        <v>168.22200000000001</v>
      </c>
      <c r="H21" s="7">
        <v>181.40799999999999</v>
      </c>
      <c r="I21" s="7">
        <f>65.04*10</f>
        <v>650.40000000000009</v>
      </c>
      <c r="J21" s="106">
        <v>56.8</v>
      </c>
      <c r="K21" s="106">
        <v>272.2</v>
      </c>
      <c r="L21" s="54"/>
      <c r="M21" s="3" t="s">
        <v>132</v>
      </c>
      <c r="N21" s="3"/>
      <c r="O21" s="7">
        <v>389.53500000000003</v>
      </c>
      <c r="P21" s="7">
        <v>1.3149999999999999</v>
      </c>
      <c r="Q21" s="7">
        <v>1.3149999999999999</v>
      </c>
      <c r="R21" s="80">
        <v>1.3149999999999999</v>
      </c>
      <c r="S21" s="80">
        <v>1.355</v>
      </c>
      <c r="T21" s="80">
        <v>2</v>
      </c>
      <c r="U21" s="80">
        <f>0.04*10</f>
        <v>0.4</v>
      </c>
      <c r="V21" s="80">
        <v>0.4</v>
      </c>
      <c r="W21" s="80">
        <v>0.4</v>
      </c>
    </row>
    <row r="22" spans="1:24">
      <c r="B22" s="3" t="s">
        <v>44</v>
      </c>
      <c r="C22" s="62">
        <v>0</v>
      </c>
      <c r="D22" s="62"/>
      <c r="E22" s="62"/>
      <c r="F22" s="7"/>
      <c r="G22" s="7"/>
      <c r="H22" s="7"/>
      <c r="I22" s="7"/>
      <c r="J22" s="107"/>
      <c r="K22" s="107"/>
      <c r="M22" s="10" t="s">
        <v>129</v>
      </c>
      <c r="N22" s="10">
        <v>388.10199999999998</v>
      </c>
      <c r="O22" s="14">
        <v>0</v>
      </c>
      <c r="P22" s="14">
        <v>0</v>
      </c>
      <c r="Q22" s="14">
        <v>0</v>
      </c>
      <c r="R22" s="81">
        <v>0</v>
      </c>
      <c r="S22" s="81">
        <v>0</v>
      </c>
      <c r="T22" s="80">
        <v>0</v>
      </c>
      <c r="U22" s="81">
        <v>0</v>
      </c>
      <c r="V22" s="80">
        <v>0</v>
      </c>
      <c r="W22" s="80">
        <v>323.39999999999998</v>
      </c>
    </row>
    <row r="23" spans="1:24">
      <c r="B23" s="1" t="s">
        <v>142</v>
      </c>
      <c r="C23" s="65">
        <f t="shared" ref="C23:J23" si="16">C15-C19-C21-C22+C5</f>
        <v>55.719999999999843</v>
      </c>
      <c r="D23" s="65">
        <f t="shared" si="16"/>
        <v>170.34099999999992</v>
      </c>
      <c r="E23" s="65">
        <f t="shared" si="16"/>
        <v>206.33300000000003</v>
      </c>
      <c r="F23" s="84">
        <f t="shared" si="16"/>
        <v>130.9370000000001</v>
      </c>
      <c r="G23" s="84">
        <f t="shared" si="16"/>
        <v>1.2680000000003133</v>
      </c>
      <c r="H23" s="84">
        <f t="shared" si="16"/>
        <v>1391.6069999999988</v>
      </c>
      <c r="I23" s="84">
        <f t="shared" si="16"/>
        <v>7967.2000000000007</v>
      </c>
      <c r="J23" s="84">
        <f>J15-J19-J21-J22+J5</f>
        <v>17265.3</v>
      </c>
      <c r="K23" s="84">
        <f>K15-K19-K21-K22</f>
        <v>18961.100000000002</v>
      </c>
      <c r="L23" s="57"/>
      <c r="M23" s="10" t="s">
        <v>150</v>
      </c>
      <c r="N23" s="10"/>
      <c r="O23" s="15">
        <v>0</v>
      </c>
      <c r="P23" s="14">
        <v>0</v>
      </c>
      <c r="Q23" s="14">
        <v>0</v>
      </c>
      <c r="R23" s="81">
        <v>187.33199999999999</v>
      </c>
      <c r="S23" s="81">
        <v>187.33199999999999</v>
      </c>
      <c r="T23" s="80">
        <v>282.399</v>
      </c>
      <c r="U23" s="80">
        <f>137.38*10</f>
        <v>1373.8</v>
      </c>
      <c r="V23" s="80">
        <v>0.4</v>
      </c>
      <c r="W23" s="80">
        <v>2</v>
      </c>
      <c r="X23" s="17"/>
    </row>
    <row r="24" spans="1:24">
      <c r="B24" s="1" t="s">
        <v>135</v>
      </c>
      <c r="C24" s="68"/>
      <c r="D24" s="61"/>
      <c r="E24" s="61"/>
      <c r="F24" s="79"/>
      <c r="G24" s="79"/>
      <c r="H24" s="79">
        <v>-513.63900000000001</v>
      </c>
      <c r="I24" s="79">
        <f>-1194.4*10</f>
        <v>-11944</v>
      </c>
      <c r="J24" s="108">
        <v>0</v>
      </c>
      <c r="K24" s="108">
        <v>0</v>
      </c>
      <c r="L24" s="58"/>
      <c r="M24" s="3" t="s">
        <v>40</v>
      </c>
      <c r="N24" s="3">
        <v>1.3149999999999999</v>
      </c>
      <c r="O24" s="14">
        <v>0</v>
      </c>
      <c r="P24" s="14">
        <v>385.18200000000002</v>
      </c>
      <c r="Q24" s="14">
        <v>6.2789999999999999</v>
      </c>
      <c r="R24" s="81">
        <v>6.4889999999999999</v>
      </c>
      <c r="S24" s="81">
        <v>7.2670000000000003</v>
      </c>
      <c r="T24" s="80">
        <v>8.6858000000000004</v>
      </c>
      <c r="U24" s="80">
        <f>36.32*10</f>
        <v>363.2</v>
      </c>
      <c r="V24" s="81">
        <v>3071.9</v>
      </c>
      <c r="W24" s="81">
        <v>5705.5</v>
      </c>
    </row>
    <row r="25" spans="1:24">
      <c r="B25" s="1" t="s">
        <v>19</v>
      </c>
      <c r="C25" s="61">
        <v>55.7</v>
      </c>
      <c r="D25" s="61">
        <v>170.34</v>
      </c>
      <c r="E25" s="61">
        <v>206.33</v>
      </c>
      <c r="F25" s="79">
        <v>130.94</v>
      </c>
      <c r="G25" s="79">
        <v>1.27</v>
      </c>
      <c r="H25" s="79">
        <f>SUM(H23:H24)</f>
        <v>877.96799999999882</v>
      </c>
      <c r="I25" s="79">
        <f>SUM(I23:I24)</f>
        <v>-3976.7999999999993</v>
      </c>
      <c r="J25" s="105">
        <f>SUM(J23:J24)</f>
        <v>17265.3</v>
      </c>
      <c r="K25" s="105">
        <f>SUM(K23:K24)</f>
        <v>18961.100000000002</v>
      </c>
      <c r="L25" s="52"/>
      <c r="M25" s="88" t="s">
        <v>119</v>
      </c>
      <c r="N25" s="8">
        <f>SUM(N26:N35)</f>
        <v>1244.0250000000001</v>
      </c>
      <c r="O25" s="8">
        <f>SUM(O26:O35)</f>
        <v>1353.8390000000002</v>
      </c>
      <c r="P25" s="8">
        <f>SUM(P26:P35)</f>
        <v>1462.4311000000002</v>
      </c>
      <c r="Q25" s="8">
        <f>SUM(Q26:Q35)</f>
        <v>1957.5710000000001</v>
      </c>
      <c r="R25" s="48">
        <f t="shared" ref="R25" si="17">SUM(R26:R35)</f>
        <v>2062.9949999999999</v>
      </c>
      <c r="S25" s="48">
        <f>SUM(S26:S35)</f>
        <v>2542.7379999999998</v>
      </c>
      <c r="T25" s="48">
        <f>SUM(T26:T35)</f>
        <v>3089.4109999999996</v>
      </c>
      <c r="U25" s="48">
        <f>SUM(U26:U35)</f>
        <v>9468.1999999999971</v>
      </c>
      <c r="V25" s="48">
        <f>SUM(V26:V35)</f>
        <v>11274.2</v>
      </c>
      <c r="W25" s="48">
        <f>SUM(W26:W35)</f>
        <v>30201.899999999998</v>
      </c>
    </row>
    <row r="26" spans="1:24">
      <c r="B26" s="3" t="s">
        <v>20</v>
      </c>
      <c r="C26" s="62">
        <v>0</v>
      </c>
      <c r="D26" s="62">
        <v>0</v>
      </c>
      <c r="E26" s="62">
        <v>0</v>
      </c>
      <c r="F26" s="7">
        <v>-187.33199999999999</v>
      </c>
      <c r="G26" s="7">
        <v>0</v>
      </c>
      <c r="H26" s="7">
        <v>-95.067999999999998</v>
      </c>
      <c r="I26" s="7">
        <f>-109.14*10</f>
        <v>-1091.4000000000001</v>
      </c>
      <c r="J26" s="106">
        <f>2597.8+2238.2</f>
        <v>4836</v>
      </c>
      <c r="K26" s="106">
        <f>4567.2-105.3</f>
        <v>4461.8999999999996</v>
      </c>
      <c r="L26" s="54"/>
      <c r="M26" s="3" t="s">
        <v>41</v>
      </c>
      <c r="N26" s="13">
        <v>565.41</v>
      </c>
      <c r="O26" s="15">
        <v>681.36800000000005</v>
      </c>
      <c r="P26" s="15">
        <v>678.58500000000004</v>
      </c>
      <c r="Q26" s="15">
        <v>736.40899999999999</v>
      </c>
      <c r="R26" s="100">
        <v>841.16800000000001</v>
      </c>
      <c r="S26" s="81">
        <v>1157.0999999999999</v>
      </c>
      <c r="T26" s="80">
        <v>1668.405</v>
      </c>
      <c r="U26" s="80">
        <f>269.75*10</f>
        <v>2697.5</v>
      </c>
      <c r="V26" s="80">
        <v>2310.9</v>
      </c>
      <c r="W26" s="80">
        <v>4317.6000000000004</v>
      </c>
    </row>
    <row r="27" spans="1:24">
      <c r="B27" s="88" t="s">
        <v>21</v>
      </c>
      <c r="C27" s="8">
        <f>C23-C26</f>
        <v>55.719999999999843</v>
      </c>
      <c r="D27" s="8">
        <f>D23-D26</f>
        <v>170.34099999999992</v>
      </c>
      <c r="E27" s="8">
        <f>E23-E26</f>
        <v>206.33300000000003</v>
      </c>
      <c r="F27" s="8">
        <f>F23-F26</f>
        <v>318.26900000000012</v>
      </c>
      <c r="G27" s="8">
        <f>G23-G26</f>
        <v>1.2680000000003133</v>
      </c>
      <c r="H27" s="8">
        <f>H25-H26</f>
        <v>973.03599999999881</v>
      </c>
      <c r="I27" s="8">
        <f>I25-I26</f>
        <v>-2885.3999999999992</v>
      </c>
      <c r="J27" s="8">
        <f>J25-J26</f>
        <v>12429.3</v>
      </c>
      <c r="K27" s="8">
        <f>K25-K26</f>
        <v>14499.200000000003</v>
      </c>
      <c r="L27" s="52"/>
      <c r="M27" s="3" t="s">
        <v>38</v>
      </c>
      <c r="N27" s="3"/>
      <c r="O27" s="7"/>
      <c r="P27" s="7"/>
      <c r="Q27" s="7"/>
      <c r="R27" s="80"/>
      <c r="S27" s="80"/>
      <c r="T27" s="80"/>
      <c r="U27" s="80"/>
      <c r="V27" s="80"/>
      <c r="W27" s="80"/>
    </row>
    <row r="28" spans="1:24">
      <c r="B28" s="85" t="s">
        <v>10</v>
      </c>
      <c r="C28" s="86"/>
      <c r="D28" s="86">
        <f>D27/C27-1</f>
        <v>2.0570890165111342</v>
      </c>
      <c r="E28" s="86">
        <f>E27/D27-1</f>
        <v>0.21129381652097923</v>
      </c>
      <c r="F28" s="86">
        <f>F27/E27-1</f>
        <v>0.54250168417073419</v>
      </c>
      <c r="G28" s="86">
        <f>G27/F27-1</f>
        <v>-0.99601594877289235</v>
      </c>
      <c r="H28" s="89">
        <f>H27/G27-1</f>
        <v>766.37854889570849</v>
      </c>
      <c r="I28" s="89">
        <f t="shared" ref="I28:K28" si="18">I27/H27-1</f>
        <v>-3.9653579107042316</v>
      </c>
      <c r="J28" s="89">
        <f>J27/I27-1</f>
        <v>-5.3076523185693505</v>
      </c>
      <c r="K28" s="89">
        <f>K27/J27-1</f>
        <v>0.1665339158279231</v>
      </c>
      <c r="L28" s="53"/>
      <c r="M28" s="3" t="s">
        <v>138</v>
      </c>
      <c r="N28" s="3"/>
      <c r="O28" s="7">
        <v>29.138000000000002</v>
      </c>
      <c r="P28" s="7">
        <v>11.922000000000001</v>
      </c>
      <c r="Q28" s="7">
        <v>10.728999999999999</v>
      </c>
      <c r="R28" s="80">
        <v>11.000999999999999</v>
      </c>
      <c r="S28" s="80">
        <v>0</v>
      </c>
      <c r="T28" s="80">
        <v>0</v>
      </c>
      <c r="U28" s="80">
        <v>0</v>
      </c>
      <c r="V28" s="80">
        <v>0</v>
      </c>
      <c r="W28" s="80">
        <v>0</v>
      </c>
    </row>
    <row r="29" spans="1:24">
      <c r="B29" s="85" t="s">
        <v>11</v>
      </c>
      <c r="C29" s="86"/>
      <c r="D29" s="86"/>
      <c r="E29" s="86"/>
      <c r="F29" s="86">
        <f>(F27/C27)^(1/3)-1</f>
        <v>0.78756184945083163</v>
      </c>
      <c r="G29" s="86">
        <f>(G27/D27)^(1/3)-1</f>
        <v>-0.80474596371807194</v>
      </c>
      <c r="H29" s="86">
        <f>(H27/E27)^(1/3)-1</f>
        <v>0.67694983801559339</v>
      </c>
      <c r="I29" s="86">
        <f t="shared" ref="I29:K29" si="19">(I27/F27)^(1/3)-1</f>
        <v>-3.0851496490251198</v>
      </c>
      <c r="J29" s="86">
        <f>(J27/G27)^(1/3)-1</f>
        <v>20.401414197632757</v>
      </c>
      <c r="K29" s="86">
        <f>(K27/H27)^(1/3)-1</f>
        <v>1.4607738935206709</v>
      </c>
      <c r="L29" s="53"/>
      <c r="M29" s="11" t="s">
        <v>51</v>
      </c>
      <c r="N29" s="22">
        <v>217.21</v>
      </c>
      <c r="O29" s="14">
        <v>109.464</v>
      </c>
      <c r="P29" s="14">
        <v>155.38300000000001</v>
      </c>
      <c r="Q29" s="14">
        <v>230.99700000000001</v>
      </c>
      <c r="R29" s="81">
        <v>78.875</v>
      </c>
      <c r="S29" s="81">
        <v>69.111999999999995</v>
      </c>
      <c r="T29" s="80">
        <v>237.36699999999999</v>
      </c>
      <c r="U29" s="80">
        <f>24.51*10</f>
        <v>245.10000000000002</v>
      </c>
      <c r="V29" s="81">
        <v>799.1</v>
      </c>
      <c r="W29" s="81">
        <v>1714.2</v>
      </c>
    </row>
    <row r="30" spans="1:24">
      <c r="B30" s="88" t="s">
        <v>22</v>
      </c>
      <c r="C30" s="4">
        <f t="shared" ref="C30:K30" si="20">C27/C4</f>
        <v>1.3895514806129848E-2</v>
      </c>
      <c r="D30" s="4">
        <f t="shared" si="20"/>
        <v>4.1077797525314742E-2</v>
      </c>
      <c r="E30" s="4">
        <f t="shared" si="20"/>
        <v>4.323091779666114E-2</v>
      </c>
      <c r="F30" s="4">
        <f t="shared" si="20"/>
        <v>8.5616252263012518E-2</v>
      </c>
      <c r="G30" s="4">
        <f t="shared" si="20"/>
        <v>5.0038140270178863E-4</v>
      </c>
      <c r="H30" s="4">
        <f t="shared" si="20"/>
        <v>0.13950348917862851</v>
      </c>
      <c r="I30" s="90" t="s">
        <v>87</v>
      </c>
      <c r="J30" s="4">
        <f>J27/J4</f>
        <v>0.19049757458254465</v>
      </c>
      <c r="K30" s="4">
        <f>K27/K4</f>
        <v>0.21571696372779484</v>
      </c>
      <c r="L30" s="56"/>
      <c r="M30" s="11" t="s">
        <v>52</v>
      </c>
      <c r="N30" s="11">
        <v>74.734999999999999</v>
      </c>
      <c r="O30" s="14">
        <v>81.605999999999995</v>
      </c>
      <c r="P30" s="14">
        <v>3.6019999999999999</v>
      </c>
      <c r="Q30" s="14">
        <v>1.976</v>
      </c>
      <c r="R30" s="81">
        <v>118.233</v>
      </c>
      <c r="S30" s="81">
        <v>3.9929999999999999</v>
      </c>
      <c r="T30" s="80">
        <v>137.31</v>
      </c>
      <c r="U30" s="80">
        <f>27.58*10</f>
        <v>275.79999999999995</v>
      </c>
      <c r="V30" s="81">
        <v>25.9</v>
      </c>
      <c r="W30" s="81">
        <v>399.5</v>
      </c>
    </row>
    <row r="31" spans="1:24">
      <c r="B31" s="3" t="s">
        <v>23</v>
      </c>
      <c r="C31" s="66">
        <v>0.81200000000000006</v>
      </c>
      <c r="D31" s="66">
        <v>-2.2360000000000002</v>
      </c>
      <c r="E31" s="66">
        <v>2.57</v>
      </c>
      <c r="F31" s="5">
        <v>-2.76</v>
      </c>
      <c r="G31" s="5">
        <v>5.2329999999999997</v>
      </c>
      <c r="H31" s="3">
        <v>7.2779999999999996</v>
      </c>
      <c r="I31" s="3">
        <f>2.07*10</f>
        <v>20.7</v>
      </c>
      <c r="J31" s="5">
        <v>27.5</v>
      </c>
      <c r="K31" s="5">
        <v>-7</v>
      </c>
      <c r="L31" s="59"/>
      <c r="M31" s="11" t="s">
        <v>53</v>
      </c>
      <c r="N31" s="11"/>
      <c r="O31" s="15">
        <v>0</v>
      </c>
      <c r="P31" s="14">
        <v>67.739999999999995</v>
      </c>
      <c r="Q31" s="14">
        <v>82.540999999999997</v>
      </c>
      <c r="R31" s="81">
        <v>67.744</v>
      </c>
      <c r="S31" s="81">
        <v>76.385999999999996</v>
      </c>
      <c r="T31" s="80">
        <v>81.418999999999997</v>
      </c>
      <c r="U31" s="80">
        <f>236.98*10</f>
        <v>2369.7999999999997</v>
      </c>
      <c r="V31" s="80">
        <v>2845.4</v>
      </c>
      <c r="W31" s="80">
        <v>6993.2</v>
      </c>
    </row>
    <row r="32" spans="1:24">
      <c r="B32" s="88" t="s">
        <v>24</v>
      </c>
      <c r="C32" s="8">
        <f>SUM(C27+C31)</f>
        <v>56.53199999999984</v>
      </c>
      <c r="D32" s="8">
        <f>SUM(D27+D31)</f>
        <v>168.10499999999993</v>
      </c>
      <c r="E32" s="8">
        <f t="shared" ref="E32:F32" si="21">SUM(E27+E31)</f>
        <v>208.90300000000002</v>
      </c>
      <c r="F32" s="8">
        <f t="shared" si="21"/>
        <v>315.50900000000013</v>
      </c>
      <c r="G32" s="8">
        <f t="shared" ref="G32:J32" si="22">SUM(G27+G31)</f>
        <v>6.501000000000313</v>
      </c>
      <c r="H32" s="8">
        <f t="shared" si="22"/>
        <v>980.31399999999883</v>
      </c>
      <c r="I32" s="8">
        <f t="shared" si="22"/>
        <v>-2864.6999999999994</v>
      </c>
      <c r="J32" s="8">
        <f>SUM(J27+J31)</f>
        <v>12456.8</v>
      </c>
      <c r="K32" s="8">
        <f>SUM(K27+K31)</f>
        <v>14492.200000000003</v>
      </c>
      <c r="L32" s="52"/>
      <c r="M32" s="3" t="s">
        <v>133</v>
      </c>
      <c r="N32" s="3">
        <v>386.67</v>
      </c>
      <c r="O32" s="15">
        <v>0</v>
      </c>
      <c r="P32" s="14">
        <v>0</v>
      </c>
      <c r="Q32" s="14">
        <v>0</v>
      </c>
      <c r="R32" s="81">
        <v>0</v>
      </c>
      <c r="S32" s="81">
        <v>0</v>
      </c>
      <c r="T32" s="80">
        <v>0</v>
      </c>
      <c r="U32" s="80">
        <f>25.07*10</f>
        <v>250.7</v>
      </c>
      <c r="V32" s="81">
        <v>15</v>
      </c>
      <c r="W32" s="81">
        <v>2508.3000000000002</v>
      </c>
    </row>
    <row r="33" spans="2:23">
      <c r="B33" s="91" t="s">
        <v>10</v>
      </c>
      <c r="C33" s="92"/>
      <c r="D33" s="93">
        <f>D32/C32-1</f>
        <v>1.9736255572065451</v>
      </c>
      <c r="E33" s="93">
        <v>9.2999999999999992E-3</v>
      </c>
      <c r="F33" s="93">
        <f t="shared" ref="F33" si="23">F32/E32-1</f>
        <v>0.51031339904166084</v>
      </c>
      <c r="G33" s="93">
        <f>G32/F32-1</f>
        <v>-0.97939519950302434</v>
      </c>
      <c r="H33" s="93">
        <f>H32/G32-1</f>
        <v>149.79433933240296</v>
      </c>
      <c r="I33" s="93">
        <f t="shared" ref="I33:K33" si="24">I32/H32-1</f>
        <v>-3.9222269599332487</v>
      </c>
      <c r="J33" s="93">
        <f>J32/I32-1</f>
        <v>-5.3483785387649672</v>
      </c>
      <c r="K33" s="93">
        <f>K32/J32-1</f>
        <v>0.16339669899171572</v>
      </c>
      <c r="L33" s="55"/>
      <c r="M33" s="11" t="s">
        <v>55</v>
      </c>
      <c r="N33" s="11"/>
      <c r="O33" s="14">
        <v>184.49700000000001</v>
      </c>
      <c r="P33" s="14">
        <v>151.86600000000001</v>
      </c>
      <c r="Q33" s="14">
        <v>116.226</v>
      </c>
      <c r="R33" s="81">
        <v>182.404</v>
      </c>
      <c r="S33" s="81">
        <v>175.80600000000001</v>
      </c>
      <c r="T33" s="80">
        <v>199.91</v>
      </c>
      <c r="U33" s="80">
        <v>0</v>
      </c>
      <c r="V33" s="80">
        <v>0</v>
      </c>
      <c r="W33" s="80">
        <v>0</v>
      </c>
    </row>
    <row r="34" spans="2:23">
      <c r="B34" s="91" t="s">
        <v>25</v>
      </c>
      <c r="C34" s="92"/>
      <c r="D34" s="92"/>
      <c r="E34" s="92"/>
      <c r="F34" s="86">
        <f>(F32/C32)^(1/3)-1</f>
        <v>0.77380469722777501</v>
      </c>
      <c r="G34" s="86">
        <f>(G32/D32)^(1/3)-1</f>
        <v>-0.66183147879931914</v>
      </c>
      <c r="H34" s="86">
        <f>(H32/E32)^(1/3)-1</f>
        <v>0.67419809218268334</v>
      </c>
      <c r="I34" s="86">
        <f t="shared" ref="I34:K34" si="25">(I32/F32)^(1/3)-1</f>
        <v>-3.0861993158111356</v>
      </c>
      <c r="J34" s="86">
        <f>(J32/G32)^(1/3)-1</f>
        <v>11.420586638559806</v>
      </c>
      <c r="K34" s="86">
        <f t="shared" si="25"/>
        <v>1.4542739514352889</v>
      </c>
      <c r="L34" s="53"/>
      <c r="M34" s="3" t="s">
        <v>144</v>
      </c>
      <c r="N34" s="3"/>
      <c r="O34" s="7">
        <v>0</v>
      </c>
      <c r="P34" s="7">
        <v>0</v>
      </c>
      <c r="Q34" s="7">
        <v>0</v>
      </c>
      <c r="R34" s="80">
        <v>0</v>
      </c>
      <c r="S34" s="80">
        <v>0</v>
      </c>
      <c r="T34" s="80">
        <v>0</v>
      </c>
      <c r="U34" s="80">
        <f>36.79*10</f>
        <v>367.9</v>
      </c>
      <c r="V34" s="81">
        <v>290.3</v>
      </c>
      <c r="W34" s="81">
        <v>750.6</v>
      </c>
    </row>
    <row r="35" spans="2:23">
      <c r="B35" s="3"/>
      <c r="C35" s="64"/>
      <c r="D35" s="64"/>
      <c r="E35" s="64"/>
      <c r="F35" s="3"/>
      <c r="G35" s="3"/>
      <c r="H35" s="3"/>
      <c r="I35" s="3"/>
      <c r="J35" s="107"/>
      <c r="K35" s="107"/>
      <c r="M35" s="3" t="s">
        <v>57</v>
      </c>
      <c r="N35" s="3"/>
      <c r="O35" s="7">
        <v>267.76600000000002</v>
      </c>
      <c r="P35" s="7">
        <v>393.3331</v>
      </c>
      <c r="Q35" s="7">
        <v>778.69299999999998</v>
      </c>
      <c r="R35" s="80">
        <v>763.57</v>
      </c>
      <c r="S35" s="80">
        <v>1060.3409999999999</v>
      </c>
      <c r="T35" s="80">
        <v>765</v>
      </c>
      <c r="U35" s="80">
        <f>326.14*10</f>
        <v>3261.3999999999996</v>
      </c>
      <c r="V35" s="81">
        <v>4987.6000000000004</v>
      </c>
      <c r="W35" s="81">
        <v>13518.5</v>
      </c>
    </row>
    <row r="36" spans="2:23">
      <c r="B36" s="88" t="s">
        <v>112</v>
      </c>
      <c r="C36" s="94">
        <v>0.54</v>
      </c>
      <c r="D36" s="94">
        <v>0.77</v>
      </c>
      <c r="E36" s="94">
        <v>0.93</v>
      </c>
      <c r="F36" s="94">
        <v>1.42</v>
      </c>
      <c r="G36" s="6">
        <v>0.01</v>
      </c>
      <c r="H36" s="6">
        <v>2.78</v>
      </c>
      <c r="I36" s="6">
        <v>-4.74</v>
      </c>
      <c r="J36" s="6">
        <v>24.43</v>
      </c>
      <c r="K36" s="6">
        <v>26.12</v>
      </c>
      <c r="L36" s="60"/>
      <c r="M36" s="88" t="s">
        <v>42</v>
      </c>
      <c r="N36" s="8">
        <f t="shared" ref="N36:V36" si="26">SUM(N37:N43)</f>
        <v>690.17400000000009</v>
      </c>
      <c r="O36" s="8">
        <f t="shared" si="26"/>
        <v>738.99599999999987</v>
      </c>
      <c r="P36" s="8">
        <f t="shared" si="26"/>
        <v>751.5</v>
      </c>
      <c r="Q36" s="8">
        <f t="shared" si="26"/>
        <v>873.13700000000006</v>
      </c>
      <c r="R36" s="48">
        <f t="shared" si="26"/>
        <v>1148.5620000000001</v>
      </c>
      <c r="S36" s="48">
        <f t="shared" si="26"/>
        <v>1467.4009999999998</v>
      </c>
      <c r="T36" s="48">
        <f t="shared" si="26"/>
        <v>1182.0940000000001</v>
      </c>
      <c r="U36" s="48">
        <f t="shared" si="26"/>
        <v>4723.2000000000007</v>
      </c>
      <c r="V36" s="48">
        <f t="shared" si="26"/>
        <v>9859.4000000000015</v>
      </c>
      <c r="W36" s="48">
        <f>SUM(W37:W43)</f>
        <v>21123.8</v>
      </c>
    </row>
    <row r="37" spans="2:23" ht="13.9" customHeight="1">
      <c r="B37" s="85" t="s">
        <v>10</v>
      </c>
      <c r="C37" s="86"/>
      <c r="D37" s="86">
        <f>D36/C36-1</f>
        <v>0.42592592592592582</v>
      </c>
      <c r="E37" s="86">
        <f>E36/D36-1</f>
        <v>0.20779220779220786</v>
      </c>
      <c r="F37" s="86">
        <f>F36/E36-1</f>
        <v>0.52688172043010728</v>
      </c>
      <c r="G37" s="86">
        <f>G36/F36-1</f>
        <v>-0.99295774647887325</v>
      </c>
      <c r="H37" s="86">
        <f>H36/G36-1</f>
        <v>277</v>
      </c>
      <c r="I37" s="86">
        <f t="shared" ref="I37:K37" si="27">I36/H36-1</f>
        <v>-2.7050359712230216</v>
      </c>
      <c r="J37" s="86">
        <f>-(J36/I36-1)</f>
        <v>6.1540084388185647</v>
      </c>
      <c r="K37" s="86">
        <f>K36/J36-1</f>
        <v>6.9177241097011954E-2</v>
      </c>
      <c r="L37" s="53"/>
      <c r="M37" s="3" t="s">
        <v>127</v>
      </c>
      <c r="N37" s="3">
        <v>640.67100000000005</v>
      </c>
      <c r="O37" s="7">
        <v>598.86199999999997</v>
      </c>
      <c r="P37" s="7">
        <v>676.03300000000002</v>
      </c>
      <c r="Q37" s="7">
        <v>640.27300000000002</v>
      </c>
      <c r="R37" s="80">
        <v>611.23800000000006</v>
      </c>
      <c r="S37" s="80">
        <v>352.52199999999999</v>
      </c>
      <c r="T37" s="80">
        <v>151.83099999999999</v>
      </c>
      <c r="U37" s="80">
        <f>74.53*10</f>
        <v>745.3</v>
      </c>
      <c r="V37" s="81">
        <v>3950.9</v>
      </c>
      <c r="W37" s="81">
        <v>362.8</v>
      </c>
    </row>
    <row r="38" spans="2:23">
      <c r="B38" s="85" t="s">
        <v>11</v>
      </c>
      <c r="C38" s="86"/>
      <c r="D38" s="86"/>
      <c r="E38" s="86"/>
      <c r="F38" s="86">
        <f>(F36/C36)^(1/3)-1</f>
        <v>0.38027258314095103</v>
      </c>
      <c r="G38" s="86">
        <f>(G36/D36)^(1/3)-1</f>
        <v>-0.76494485683957281</v>
      </c>
      <c r="H38" s="86">
        <f>(H36/E36)^(1/3)-1</f>
        <v>0.44052438974894681</v>
      </c>
      <c r="I38" s="86">
        <f t="shared" ref="I38:K38" si="28">(I36/F36)^(1/3)-1</f>
        <v>-2.4945025684839068</v>
      </c>
      <c r="J38" s="86">
        <f>(J36/G36)^(1/3)-1</f>
        <v>12.468146206534056</v>
      </c>
      <c r="K38" s="86">
        <f>(K36/H36)^(1/3)-1</f>
        <v>1.1101311998288717</v>
      </c>
      <c r="L38" s="53"/>
      <c r="M38" s="3" t="s">
        <v>128</v>
      </c>
      <c r="N38" s="3">
        <v>0</v>
      </c>
      <c r="O38" s="14">
        <v>77.89</v>
      </c>
      <c r="P38" s="14">
        <v>17.408999999999999</v>
      </c>
      <c r="Q38" s="14">
        <v>75.168999999999997</v>
      </c>
      <c r="R38" s="81">
        <v>268.22000000000003</v>
      </c>
      <c r="S38" s="81">
        <v>777.24800000000005</v>
      </c>
      <c r="T38" s="80">
        <v>744.69500000000005</v>
      </c>
      <c r="U38" s="80">
        <f>1.57*10</f>
        <v>15.700000000000001</v>
      </c>
      <c r="V38" s="80"/>
      <c r="W38" s="80">
        <v>0</v>
      </c>
    </row>
    <row r="39" spans="2:23">
      <c r="C39" s="68"/>
      <c r="D39" s="68"/>
      <c r="E39" s="68"/>
      <c r="J39" s="109"/>
      <c r="K39" s="109"/>
      <c r="M39" s="3" t="s">
        <v>44</v>
      </c>
      <c r="N39" s="3"/>
      <c r="O39" s="15">
        <v>1.43</v>
      </c>
      <c r="P39" s="14">
        <v>22.384</v>
      </c>
      <c r="Q39" s="14">
        <v>82.781999999999996</v>
      </c>
      <c r="R39" s="81">
        <v>143.76</v>
      </c>
      <c r="S39" s="81">
        <v>103.386</v>
      </c>
      <c r="T39" s="80">
        <v>139.29499999999999</v>
      </c>
      <c r="U39" s="80">
        <f>12.12*10</f>
        <v>121.19999999999999</v>
      </c>
      <c r="V39" s="81">
        <v>189.9</v>
      </c>
      <c r="W39" s="81">
        <v>216.7</v>
      </c>
    </row>
    <row r="40" spans="2:23">
      <c r="B40" s="1" t="s">
        <v>67</v>
      </c>
      <c r="C40" s="69" t="s">
        <v>2</v>
      </c>
      <c r="D40" s="69" t="s">
        <v>3</v>
      </c>
      <c r="E40" s="69" t="s">
        <v>4</v>
      </c>
      <c r="F40" s="2" t="s">
        <v>5</v>
      </c>
      <c r="G40" s="2" t="s">
        <v>6</v>
      </c>
      <c r="H40" s="2" t="s">
        <v>107</v>
      </c>
      <c r="I40" s="2" t="s">
        <v>143</v>
      </c>
      <c r="J40" s="110" t="s">
        <v>145</v>
      </c>
      <c r="K40" s="111" t="s">
        <v>149</v>
      </c>
      <c r="M40" s="3" t="s">
        <v>43</v>
      </c>
      <c r="N40" s="3">
        <v>49.503</v>
      </c>
      <c r="O40" s="7">
        <v>60.814</v>
      </c>
      <c r="P40" s="7">
        <v>35.673999999999999</v>
      </c>
      <c r="Q40" s="7">
        <v>74.912999999999997</v>
      </c>
      <c r="R40" s="80">
        <v>119.63200000000001</v>
      </c>
      <c r="S40" s="80">
        <v>232.465</v>
      </c>
      <c r="T40" s="80">
        <v>144.18600000000001</v>
      </c>
      <c r="U40" s="80">
        <f>383.49*10</f>
        <v>3834.9</v>
      </c>
      <c r="V40" s="80">
        <v>3083.9</v>
      </c>
      <c r="W40" s="80">
        <v>13344.3</v>
      </c>
    </row>
    <row r="41" spans="2:23" ht="30">
      <c r="B41" s="76" t="s">
        <v>68</v>
      </c>
      <c r="C41" s="70">
        <v>74.734999999999999</v>
      </c>
      <c r="D41" s="64">
        <v>2.36</v>
      </c>
      <c r="E41" s="62">
        <v>3.6019999999999999</v>
      </c>
      <c r="F41" s="7">
        <v>1.976</v>
      </c>
      <c r="G41" s="7">
        <v>118.233</v>
      </c>
      <c r="H41" s="13">
        <v>3.99</v>
      </c>
      <c r="I41" s="13">
        <f>13.73*10</f>
        <v>137.30000000000001</v>
      </c>
      <c r="J41" s="112">
        <f>U30</f>
        <v>275.79999999999995</v>
      </c>
      <c r="K41" s="106">
        <f>J46</f>
        <v>25.900000000002876</v>
      </c>
      <c r="M41" s="3" t="s">
        <v>65</v>
      </c>
      <c r="N41" s="3"/>
      <c r="O41" s="14" t="s">
        <v>124</v>
      </c>
      <c r="P41" s="14">
        <v>0</v>
      </c>
      <c r="Q41" s="14">
        <v>0</v>
      </c>
      <c r="R41" s="81">
        <v>5.7119999999999997</v>
      </c>
      <c r="S41" s="81">
        <v>1.78</v>
      </c>
      <c r="T41" s="80">
        <v>2.0870000000000002</v>
      </c>
      <c r="U41" s="80">
        <f>0.61*10</f>
        <v>6.1</v>
      </c>
      <c r="V41" s="81">
        <v>36.9</v>
      </c>
      <c r="W41" s="81">
        <v>35</v>
      </c>
    </row>
    <row r="42" spans="2:23">
      <c r="B42" s="3" t="s">
        <v>69</v>
      </c>
      <c r="C42" s="62">
        <v>505.82100000000003</v>
      </c>
      <c r="D42" s="62">
        <v>543.60699999999997</v>
      </c>
      <c r="E42" s="62">
        <v>-382.56599999999997</v>
      </c>
      <c r="F42" s="7">
        <v>515.65300000000002</v>
      </c>
      <c r="G42" s="7">
        <v>-149.405</v>
      </c>
      <c r="H42" s="13">
        <v>-782.08399999999995</v>
      </c>
      <c r="I42" s="20">
        <f>-516.44*10</f>
        <v>-5164.4000000000005</v>
      </c>
      <c r="J42" s="112">
        <v>17010.400000000001</v>
      </c>
      <c r="K42" s="106">
        <v>12053.4</v>
      </c>
      <c r="M42" s="3" t="s">
        <v>147</v>
      </c>
      <c r="N42" s="3"/>
      <c r="O42" s="15"/>
      <c r="P42" s="14">
        <v>0</v>
      </c>
      <c r="Q42" s="14">
        <v>0</v>
      </c>
      <c r="R42" s="81">
        <v>0</v>
      </c>
      <c r="S42" s="81">
        <v>0</v>
      </c>
      <c r="T42" s="81">
        <v>0</v>
      </c>
      <c r="U42" s="81">
        <v>0</v>
      </c>
      <c r="V42" s="80">
        <v>2597.8000000000002</v>
      </c>
      <c r="W42" s="80">
        <v>7165</v>
      </c>
    </row>
    <row r="43" spans="2:23">
      <c r="B43" s="3" t="s">
        <v>70</v>
      </c>
      <c r="C43" s="62">
        <v>-389.774</v>
      </c>
      <c r="D43" s="62">
        <v>-534.72199999999998</v>
      </c>
      <c r="E43" s="62">
        <v>-378.79300000000001</v>
      </c>
      <c r="F43" s="7">
        <v>-342.45699999999999</v>
      </c>
      <c r="G43" s="7">
        <v>-621.83600000000001</v>
      </c>
      <c r="H43" s="3">
        <v>-573.51599999999996</v>
      </c>
      <c r="I43" s="20">
        <f>-612.27*10</f>
        <v>-6122.7</v>
      </c>
      <c r="J43" s="112">
        <v>-17254.099999999999</v>
      </c>
      <c r="K43" s="106">
        <v>-39759.5</v>
      </c>
      <c r="M43" s="3" t="s">
        <v>151</v>
      </c>
      <c r="N43" s="3"/>
      <c r="O43" s="7"/>
      <c r="P43" s="7">
        <v>0</v>
      </c>
      <c r="Q43" s="7">
        <v>0</v>
      </c>
      <c r="R43" s="80"/>
      <c r="S43" s="80"/>
      <c r="T43" s="80"/>
      <c r="U43" s="80"/>
      <c r="V43" s="80"/>
      <c r="W43" s="80"/>
    </row>
    <row r="44" spans="2:23">
      <c r="B44" s="3" t="s">
        <v>71</v>
      </c>
      <c r="C44" s="62">
        <v>-109.175</v>
      </c>
      <c r="D44" s="62">
        <v>-7.6429999999999998</v>
      </c>
      <c r="E44" s="62">
        <v>759.73299999999995</v>
      </c>
      <c r="F44" s="7">
        <v>-56.938000000000002</v>
      </c>
      <c r="G44" s="7">
        <v>656.99800000000005</v>
      </c>
      <c r="H44" s="3">
        <v>1488.92</v>
      </c>
      <c r="I44" s="3">
        <f>1142.53*10</f>
        <v>11425.3</v>
      </c>
      <c r="J44" s="112">
        <v>-6.2</v>
      </c>
      <c r="K44" s="106">
        <v>28079.7</v>
      </c>
      <c r="M44" s="88" t="s">
        <v>45</v>
      </c>
      <c r="N44" s="8">
        <f>N25-N36</f>
        <v>553.851</v>
      </c>
      <c r="O44" s="8">
        <f>O25-O36</f>
        <v>614.8430000000003</v>
      </c>
      <c r="P44" s="8">
        <f>P25-P36</f>
        <v>710.93110000000024</v>
      </c>
      <c r="Q44" s="8">
        <f t="shared" ref="Q44:S44" si="29">Q25-Q36</f>
        <v>1084.4340000000002</v>
      </c>
      <c r="R44" s="48">
        <f t="shared" si="29"/>
        <v>914.43299999999977</v>
      </c>
      <c r="S44" s="48">
        <f t="shared" si="29"/>
        <v>1075.337</v>
      </c>
      <c r="T44" s="48">
        <f>T25-T36</f>
        <v>1907.3169999999996</v>
      </c>
      <c r="U44" s="48">
        <f>U25-U36</f>
        <v>4744.9999999999964</v>
      </c>
      <c r="V44" s="48">
        <f>V25-V36</f>
        <v>1414.7999999999993</v>
      </c>
      <c r="W44" s="48">
        <f>W25-W36</f>
        <v>9078.0999999999985</v>
      </c>
    </row>
    <row r="45" spans="2:23">
      <c r="B45" s="3" t="s">
        <v>72</v>
      </c>
      <c r="C45" s="62">
        <f>C42+C43+C44</f>
        <v>6.8720000000000283</v>
      </c>
      <c r="D45" s="62">
        <f>D42+D43+D44</f>
        <v>1.2419999999999911</v>
      </c>
      <c r="E45" s="62">
        <f t="shared" ref="E45:F45" si="30">E42+E43+E44</f>
        <v>-1.6259999999999764</v>
      </c>
      <c r="F45" s="7">
        <f t="shared" si="30"/>
        <v>116.25800000000002</v>
      </c>
      <c r="G45" s="7">
        <f>G42+G43+G44</f>
        <v>-114.24299999999994</v>
      </c>
      <c r="H45" s="7">
        <f>H42+H43+H44</f>
        <v>133.32000000000016</v>
      </c>
      <c r="I45" s="7">
        <f>I42+I43+I44</f>
        <v>138.19999999999891</v>
      </c>
      <c r="J45" s="112">
        <f>J42+J43+J44</f>
        <v>-249.89999999999708</v>
      </c>
      <c r="K45" s="106">
        <f>K42+K43+K44</f>
        <v>373.60000000000218</v>
      </c>
      <c r="M45" s="3" t="s">
        <v>46</v>
      </c>
      <c r="N45" s="3">
        <v>38.729999999999997</v>
      </c>
      <c r="O45" s="14">
        <v>39.619999999999997</v>
      </c>
      <c r="P45" s="14">
        <v>43.482999999999997</v>
      </c>
      <c r="Q45" s="14">
        <v>50.866</v>
      </c>
      <c r="R45" s="81">
        <v>57.308</v>
      </c>
      <c r="S45" s="81">
        <v>57.37</v>
      </c>
      <c r="T45" s="80">
        <v>53.631999999999998</v>
      </c>
      <c r="U45" s="80">
        <f>22.56*10</f>
        <v>225.6</v>
      </c>
      <c r="V45" s="80">
        <v>248.9</v>
      </c>
      <c r="W45" s="80">
        <v>350.1</v>
      </c>
    </row>
    <row r="46" spans="2:23">
      <c r="B46" s="88" t="s">
        <v>73</v>
      </c>
      <c r="C46" s="8">
        <f>C41+C45</f>
        <v>81.607000000000028</v>
      </c>
      <c r="D46" s="8">
        <f t="shared" ref="D46:H46" si="31">D41+D45</f>
        <v>3.601999999999991</v>
      </c>
      <c r="E46" s="8">
        <f t="shared" si="31"/>
        <v>1.9760000000000235</v>
      </c>
      <c r="F46" s="8">
        <f t="shared" si="31"/>
        <v>118.23400000000002</v>
      </c>
      <c r="G46" s="8">
        <f>G41+G45</f>
        <v>3.9900000000000659</v>
      </c>
      <c r="H46" s="8">
        <f t="shared" si="31"/>
        <v>137.31000000000017</v>
      </c>
      <c r="I46" s="8">
        <f>I41+I45</f>
        <v>275.49999999999892</v>
      </c>
      <c r="J46" s="95">
        <f>J41+J45</f>
        <v>25.900000000002876</v>
      </c>
      <c r="K46" s="8">
        <f>K41+K45</f>
        <v>399.50000000000506</v>
      </c>
      <c r="M46" s="3" t="s">
        <v>127</v>
      </c>
      <c r="N46" s="3"/>
      <c r="O46" s="14">
        <v>539.19500000000005</v>
      </c>
      <c r="P46" s="14"/>
      <c r="Q46" s="14"/>
      <c r="R46" s="81"/>
      <c r="S46" s="81"/>
      <c r="T46" s="80"/>
      <c r="U46" s="80"/>
      <c r="V46" s="80"/>
      <c r="W46" s="80"/>
    </row>
    <row r="47" spans="2:23">
      <c r="C47" s="68"/>
      <c r="D47" s="68"/>
      <c r="E47" s="68"/>
      <c r="J47" s="109"/>
      <c r="K47" s="113"/>
      <c r="M47" s="3" t="s">
        <v>128</v>
      </c>
      <c r="N47" s="3"/>
      <c r="O47" s="14">
        <v>238.47900000000001</v>
      </c>
      <c r="P47" s="14"/>
      <c r="Q47" s="14"/>
      <c r="R47" s="81"/>
      <c r="S47" s="81"/>
      <c r="T47" s="80"/>
      <c r="U47" s="80"/>
      <c r="V47" s="80"/>
      <c r="W47" s="80"/>
    </row>
    <row r="48" spans="2:23">
      <c r="B48" s="78" t="s">
        <v>74</v>
      </c>
      <c r="C48" s="71" t="s">
        <v>2</v>
      </c>
      <c r="D48" s="71" t="s">
        <v>3</v>
      </c>
      <c r="E48" s="71" t="s">
        <v>4</v>
      </c>
      <c r="F48" s="9" t="s">
        <v>5</v>
      </c>
      <c r="G48" s="9" t="s">
        <v>6</v>
      </c>
      <c r="H48" s="9" t="s">
        <v>107</v>
      </c>
      <c r="I48" s="9" t="s">
        <v>143</v>
      </c>
      <c r="J48" s="114" t="s">
        <v>145</v>
      </c>
      <c r="K48" s="115" t="s">
        <v>149</v>
      </c>
      <c r="M48" s="3" t="s">
        <v>134</v>
      </c>
      <c r="N48" s="3">
        <v>3164.2020000000002</v>
      </c>
      <c r="O48" s="14">
        <v>2533.973</v>
      </c>
      <c r="P48" s="14">
        <v>3630.0509999999999</v>
      </c>
      <c r="Q48" s="14">
        <v>3049.47</v>
      </c>
      <c r="R48" s="81">
        <v>2757.0320000000002</v>
      </c>
      <c r="S48" s="81">
        <v>2821.7289999999998</v>
      </c>
      <c r="T48" s="80">
        <v>1614.3430000000001</v>
      </c>
      <c r="U48" s="80">
        <v>0</v>
      </c>
      <c r="V48" s="80">
        <v>0</v>
      </c>
      <c r="W48" s="80">
        <v>0</v>
      </c>
    </row>
    <row r="49" spans="2:25">
      <c r="B49" s="78" t="s">
        <v>78</v>
      </c>
      <c r="C49" s="72">
        <f>C42</f>
        <v>505.82100000000003</v>
      </c>
      <c r="D49" s="72">
        <f t="shared" ref="D49:K49" si="32">D42</f>
        <v>543.60699999999997</v>
      </c>
      <c r="E49" s="73">
        <f t="shared" si="32"/>
        <v>-382.56599999999997</v>
      </c>
      <c r="F49" s="83">
        <f t="shared" si="32"/>
        <v>515.65300000000002</v>
      </c>
      <c r="G49" s="83">
        <f t="shared" si="32"/>
        <v>-149.405</v>
      </c>
      <c r="H49" s="83">
        <f t="shared" si="32"/>
        <v>-782.08399999999995</v>
      </c>
      <c r="I49" s="83">
        <f t="shared" si="32"/>
        <v>-5164.4000000000005</v>
      </c>
      <c r="J49" s="99">
        <f>J42</f>
        <v>17010.400000000001</v>
      </c>
      <c r="K49" s="83">
        <f>K42</f>
        <v>12053.4</v>
      </c>
      <c r="M49" s="3" t="s">
        <v>65</v>
      </c>
      <c r="N49" s="3"/>
      <c r="O49" s="7"/>
      <c r="P49" s="7"/>
      <c r="Q49" s="7"/>
      <c r="R49" s="80">
        <v>25.268000000000001</v>
      </c>
      <c r="S49" s="80">
        <v>6.3840000000000003</v>
      </c>
      <c r="T49" s="80">
        <v>4.2969999999999997</v>
      </c>
      <c r="U49" s="80">
        <f>2.19*10</f>
        <v>21.9</v>
      </c>
      <c r="V49" s="80">
        <v>294.39999999999998</v>
      </c>
      <c r="W49" s="80">
        <v>359.2</v>
      </c>
    </row>
    <row r="50" spans="2:25">
      <c r="B50" s="16" t="s">
        <v>79</v>
      </c>
      <c r="C50" s="67">
        <f t="shared" ref="C50:J50" si="33">(O17-N17)+C19</f>
        <v>402.02200000000005</v>
      </c>
      <c r="D50" s="67">
        <f t="shared" si="33"/>
        <v>420.27099999999979</v>
      </c>
      <c r="E50" s="67">
        <f t="shared" si="33"/>
        <v>250.19500000000002</v>
      </c>
      <c r="F50" s="81">
        <f t="shared" si="33"/>
        <v>303.23300000000017</v>
      </c>
      <c r="G50" s="81">
        <f t="shared" si="33"/>
        <v>37.657999999999731</v>
      </c>
      <c r="H50" s="81">
        <f t="shared" si="33"/>
        <v>561.65300000000002</v>
      </c>
      <c r="I50" s="81">
        <f t="shared" si="33"/>
        <v>985.33300000000008</v>
      </c>
      <c r="J50" s="82">
        <f>(V17-U17)+J19</f>
        <v>7311.4</v>
      </c>
      <c r="K50" s="81">
        <f>(W17-V17)+K19</f>
        <v>4555.6000000000004</v>
      </c>
      <c r="M50" s="3" t="s">
        <v>58</v>
      </c>
      <c r="N50" s="3"/>
      <c r="O50" s="7"/>
      <c r="P50" s="7">
        <v>0</v>
      </c>
      <c r="Q50" s="7">
        <v>0</v>
      </c>
      <c r="R50" s="80">
        <v>0</v>
      </c>
      <c r="S50" s="80">
        <v>0</v>
      </c>
      <c r="T50" s="80">
        <v>0</v>
      </c>
      <c r="U50" s="80">
        <v>0</v>
      </c>
      <c r="V50" s="80">
        <v>864</v>
      </c>
      <c r="W50" s="80">
        <v>757.2</v>
      </c>
    </row>
    <row r="51" spans="2:25">
      <c r="B51" s="96" t="s">
        <v>80</v>
      </c>
      <c r="C51" s="97">
        <f>C49-C50</f>
        <v>103.79899999999998</v>
      </c>
      <c r="D51" s="97">
        <f t="shared" ref="D51:F51" si="34">D49-D50</f>
        <v>123.33600000000018</v>
      </c>
      <c r="E51" s="97">
        <f t="shared" si="34"/>
        <v>-632.76099999999997</v>
      </c>
      <c r="F51" s="97">
        <f t="shared" si="34"/>
        <v>212.41999999999985</v>
      </c>
      <c r="G51" s="97">
        <f>G49-G50</f>
        <v>-187.06299999999973</v>
      </c>
      <c r="H51" s="97">
        <f>H49-H50</f>
        <v>-1343.7370000000001</v>
      </c>
      <c r="I51" s="97">
        <f>I49-I50</f>
        <v>-6149.7330000000002</v>
      </c>
      <c r="J51" s="95">
        <f>J49-J50</f>
        <v>9699.0000000000018</v>
      </c>
      <c r="K51" s="8">
        <f>K49-K50</f>
        <v>7497.7999999999993</v>
      </c>
      <c r="M51" s="88" t="s">
        <v>47</v>
      </c>
      <c r="N51" s="8">
        <f t="shared" ref="N51:U51" si="35">SUM(N16+N25)</f>
        <v>4632.6010000000006</v>
      </c>
      <c r="O51" s="8">
        <f t="shared" si="35"/>
        <v>5026.8440000000001</v>
      </c>
      <c r="P51" s="8">
        <f t="shared" si="35"/>
        <v>5561.1970999999994</v>
      </c>
      <c r="Q51" s="8">
        <f t="shared" si="35"/>
        <v>5908.8969999999999</v>
      </c>
      <c r="R51" s="48">
        <f t="shared" si="35"/>
        <v>6421.0629999999992</v>
      </c>
      <c r="S51" s="48">
        <f t="shared" si="35"/>
        <v>7202.5379999999986</v>
      </c>
      <c r="T51" s="48">
        <f t="shared" si="35"/>
        <v>8237.9938000000002</v>
      </c>
      <c r="U51" s="48">
        <f t="shared" si="35"/>
        <v>20260.299999999996</v>
      </c>
      <c r="V51" s="48">
        <f>SUM(V16+V25)</f>
        <v>39375.400000000009</v>
      </c>
      <c r="W51" s="48">
        <f>SUM(W16+W25)</f>
        <v>94169</v>
      </c>
    </row>
    <row r="52" spans="2:25">
      <c r="C52" s="68"/>
      <c r="D52" s="68"/>
      <c r="E52" s="68"/>
      <c r="J52" s="109"/>
      <c r="K52" s="113"/>
      <c r="M52" s="88" t="s">
        <v>48</v>
      </c>
      <c r="N52" s="8">
        <f>SUM(N36+N6+N45+N48+N49+N50+N11)</f>
        <v>4632.6009999999997</v>
      </c>
      <c r="O52" s="8">
        <f>SUM(O36+O6+O45+O48+O49+O50+O11+O46+O47)</f>
        <v>5026.8469999999998</v>
      </c>
      <c r="P52" s="8">
        <f t="shared" ref="P52:W52" si="36">SUM(P36+P6+P45+P48+P49+P50+P11)</f>
        <v>5561.1950000000006</v>
      </c>
      <c r="Q52" s="8">
        <f t="shared" si="36"/>
        <v>5908.8969999999999</v>
      </c>
      <c r="R52" s="48">
        <f t="shared" si="36"/>
        <v>6421.0630000000001</v>
      </c>
      <c r="S52" s="48">
        <f t="shared" si="36"/>
        <v>7202.5349999999999</v>
      </c>
      <c r="T52" s="48">
        <f t="shared" si="36"/>
        <v>8238.0729999999985</v>
      </c>
      <c r="U52" s="48">
        <f t="shared" si="36"/>
        <v>20260.2</v>
      </c>
      <c r="V52" s="48">
        <f t="shared" si="36"/>
        <v>39375.400000000009</v>
      </c>
      <c r="W52" s="48">
        <f>SUM(W36+W6+W45+W48+W49+W50+W11)</f>
        <v>94169</v>
      </c>
      <c r="Y52" s="17">
        <f>W51-W52</f>
        <v>0</v>
      </c>
    </row>
    <row r="53" spans="2:25">
      <c r="B53" s="78" t="s">
        <v>74</v>
      </c>
      <c r="C53" s="71" t="s">
        <v>2</v>
      </c>
      <c r="D53" s="71" t="s">
        <v>3</v>
      </c>
      <c r="E53" s="71" t="s">
        <v>4</v>
      </c>
      <c r="F53" s="9" t="s">
        <v>5</v>
      </c>
      <c r="G53" s="9" t="s">
        <v>6</v>
      </c>
      <c r="H53" s="9" t="s">
        <v>107</v>
      </c>
      <c r="I53" s="2" t="s">
        <v>143</v>
      </c>
      <c r="J53" s="115" t="s">
        <v>145</v>
      </c>
      <c r="K53" s="115" t="s">
        <v>149</v>
      </c>
    </row>
    <row r="54" spans="2:25">
      <c r="B54" s="3" t="s">
        <v>81</v>
      </c>
      <c r="C54" s="74">
        <v>222582580</v>
      </c>
      <c r="D54" s="74">
        <v>222582580</v>
      </c>
      <c r="E54" s="74">
        <v>222582580</v>
      </c>
      <c r="F54" s="80">
        <v>225178400</v>
      </c>
      <c r="G54" s="80">
        <v>251749220</v>
      </c>
      <c r="H54" s="80">
        <v>368719220</v>
      </c>
      <c r="I54" s="80">
        <v>504824220</v>
      </c>
      <c r="J54" s="80">
        <v>505253535</v>
      </c>
      <c r="K54" s="80">
        <v>523241945</v>
      </c>
      <c r="M54" s="102" t="s">
        <v>96</v>
      </c>
      <c r="N54" s="102"/>
      <c r="O54" s="102"/>
      <c r="P54" s="102"/>
      <c r="Q54" s="102"/>
      <c r="R54" s="102"/>
      <c r="S54" s="102"/>
      <c r="T54" s="102"/>
      <c r="U54" s="102"/>
      <c r="V54" s="102"/>
      <c r="W54" s="102"/>
    </row>
    <row r="55" spans="2:25">
      <c r="B55" s="16" t="s">
        <v>82</v>
      </c>
      <c r="C55" s="63">
        <f t="shared" ref="C55:J55" si="37">O56*C54/1000000</f>
        <v>3405.5134739999999</v>
      </c>
      <c r="D55" s="63">
        <f t="shared" si="37"/>
        <v>3405.5134739999999</v>
      </c>
      <c r="E55" s="63">
        <f t="shared" si="37"/>
        <v>2773.3789468</v>
      </c>
      <c r="F55" s="80">
        <f t="shared" si="37"/>
        <v>1297.0275839999999</v>
      </c>
      <c r="G55" s="80">
        <f t="shared" si="37"/>
        <v>2769.2414199999998</v>
      </c>
      <c r="H55" s="80">
        <f t="shared" si="37"/>
        <v>48910.604532999998</v>
      </c>
      <c r="I55" s="80">
        <f t="shared" si="37"/>
        <v>143723.455434</v>
      </c>
      <c r="J55" s="101">
        <f t="shared" si="37"/>
        <v>302747.91817199998</v>
      </c>
      <c r="K55" s="101">
        <f>W56*K54/1000000</f>
        <v>672627.52029749996</v>
      </c>
      <c r="M55" s="16"/>
      <c r="N55" s="16"/>
      <c r="O55" s="9" t="s">
        <v>2</v>
      </c>
      <c r="P55" s="9" t="s">
        <v>3</v>
      </c>
      <c r="Q55" s="9" t="s">
        <v>4</v>
      </c>
      <c r="R55" s="9" t="s">
        <v>5</v>
      </c>
      <c r="S55" s="9" t="s">
        <v>6</v>
      </c>
      <c r="T55" s="9" t="s">
        <v>107</v>
      </c>
      <c r="U55" s="2" t="s">
        <v>143</v>
      </c>
      <c r="V55" s="9" t="s">
        <v>145</v>
      </c>
      <c r="W55" s="2" t="s">
        <v>149</v>
      </c>
    </row>
    <row r="56" spans="2:25">
      <c r="B56" s="16" t="s">
        <v>83</v>
      </c>
      <c r="C56" s="75">
        <f t="shared" ref="C56:H56" si="38">O11</f>
        <v>260.34699999999998</v>
      </c>
      <c r="D56" s="75">
        <f t="shared" si="38"/>
        <v>291.81799999999998</v>
      </c>
      <c r="E56" s="75">
        <f t="shared" si="38"/>
        <v>852.8889999999999</v>
      </c>
      <c r="F56" s="80">
        <f t="shared" si="38"/>
        <v>988.83799999999997</v>
      </c>
      <c r="G56" s="80">
        <f t="shared" si="38"/>
        <v>1028.598</v>
      </c>
      <c r="H56" s="80">
        <f t="shared" si="38"/>
        <v>567.19899999999996</v>
      </c>
      <c r="I56" s="80">
        <f t="shared" ref="I56" si="39">U11</f>
        <v>0</v>
      </c>
      <c r="J56" s="80">
        <f t="shared" ref="J56" si="40">V11</f>
        <v>0</v>
      </c>
      <c r="K56" s="80">
        <f>W11</f>
        <v>7557.5</v>
      </c>
      <c r="M56" s="16" t="s">
        <v>97</v>
      </c>
      <c r="N56" s="16"/>
      <c r="O56" s="18">
        <v>15.3</v>
      </c>
      <c r="P56" s="18">
        <v>15.3</v>
      </c>
      <c r="Q56" s="18">
        <v>12.46</v>
      </c>
      <c r="R56" s="7">
        <v>5.76</v>
      </c>
      <c r="S56" s="7">
        <v>11</v>
      </c>
      <c r="T56" s="7">
        <v>132.65</v>
      </c>
      <c r="U56" s="7">
        <v>284.7</v>
      </c>
      <c r="V56" s="106">
        <v>599.20000000000005</v>
      </c>
      <c r="W56" s="106">
        <v>1285.5</v>
      </c>
    </row>
    <row r="57" spans="2:25">
      <c r="B57" s="16" t="s">
        <v>84</v>
      </c>
      <c r="C57" s="70">
        <f>O30</f>
        <v>81.605999999999995</v>
      </c>
      <c r="D57" s="70">
        <f>P30</f>
        <v>3.6019999999999999</v>
      </c>
      <c r="E57" s="70">
        <f t="shared" ref="C57:H58" si="41">Q30</f>
        <v>1.976</v>
      </c>
      <c r="F57" s="80">
        <f t="shared" si="41"/>
        <v>118.233</v>
      </c>
      <c r="G57" s="80">
        <f t="shared" si="41"/>
        <v>3.9929999999999999</v>
      </c>
      <c r="H57" s="80">
        <f t="shared" si="41"/>
        <v>137.31</v>
      </c>
      <c r="I57" s="80">
        <f t="shared" ref="I57:K58" si="42">U30</f>
        <v>275.79999999999995</v>
      </c>
      <c r="J57" s="80">
        <f t="shared" si="42"/>
        <v>25.9</v>
      </c>
      <c r="K57" s="80">
        <f t="shared" si="42"/>
        <v>399.5</v>
      </c>
      <c r="M57" s="16" t="s">
        <v>98</v>
      </c>
      <c r="N57" s="16"/>
      <c r="O57" s="18">
        <f t="shared" ref="O57:W57" si="43">C36</f>
        <v>0.54</v>
      </c>
      <c r="P57" s="18">
        <f t="shared" si="43"/>
        <v>0.77</v>
      </c>
      <c r="Q57" s="18">
        <f t="shared" si="43"/>
        <v>0.93</v>
      </c>
      <c r="R57" s="7">
        <f t="shared" si="43"/>
        <v>1.42</v>
      </c>
      <c r="S57" s="7">
        <f t="shared" si="43"/>
        <v>0.01</v>
      </c>
      <c r="T57" s="7">
        <f t="shared" si="43"/>
        <v>2.78</v>
      </c>
      <c r="U57" s="7">
        <f t="shared" si="43"/>
        <v>-4.74</v>
      </c>
      <c r="V57" s="106">
        <f t="shared" si="43"/>
        <v>24.43</v>
      </c>
      <c r="W57" s="106">
        <f>K36</f>
        <v>26.12</v>
      </c>
    </row>
    <row r="58" spans="2:25">
      <c r="B58" s="16" t="s">
        <v>85</v>
      </c>
      <c r="C58" s="70">
        <f t="shared" si="41"/>
        <v>0</v>
      </c>
      <c r="D58" s="70">
        <f t="shared" si="41"/>
        <v>67.739999999999995</v>
      </c>
      <c r="E58" s="70">
        <f t="shared" si="41"/>
        <v>82.540999999999997</v>
      </c>
      <c r="F58" s="80">
        <f t="shared" si="41"/>
        <v>67.744</v>
      </c>
      <c r="G58" s="80">
        <f t="shared" si="41"/>
        <v>76.385999999999996</v>
      </c>
      <c r="H58" s="80">
        <f>T31</f>
        <v>81.418999999999997</v>
      </c>
      <c r="I58" s="80">
        <f t="shared" si="42"/>
        <v>2369.7999999999997</v>
      </c>
      <c r="J58" s="80">
        <f t="shared" si="42"/>
        <v>2845.4</v>
      </c>
      <c r="K58" s="80">
        <f t="shared" si="42"/>
        <v>6993.2</v>
      </c>
      <c r="M58" s="16" t="s">
        <v>99</v>
      </c>
      <c r="N58" s="16"/>
      <c r="O58" s="14">
        <f t="shared" ref="O58:V58" si="44">O6*1000000/C54</f>
        <v>3.038139822083112</v>
      </c>
      <c r="P58" s="14">
        <f t="shared" si="44"/>
        <v>3.7933920974408695</v>
      </c>
      <c r="Q58" s="14">
        <f t="shared" si="44"/>
        <v>4.8635207660904998</v>
      </c>
      <c r="R58" s="14">
        <f t="shared" si="44"/>
        <v>6.4129374753528756</v>
      </c>
      <c r="S58" s="14">
        <f t="shared" si="44"/>
        <v>7.2335993732175217</v>
      </c>
      <c r="T58" s="14">
        <f t="shared" si="44"/>
        <v>13.062806978166204</v>
      </c>
      <c r="U58" s="47">
        <f t="shared" si="44"/>
        <v>30.286779822093322</v>
      </c>
      <c r="V58" s="81">
        <f t="shared" si="44"/>
        <v>55.632861628568321</v>
      </c>
      <c r="W58" s="116">
        <f>W6*1000000/K54</f>
        <v>122.35486969608294</v>
      </c>
    </row>
    <row r="59" spans="2:25">
      <c r="B59" s="88" t="s">
        <v>86</v>
      </c>
      <c r="C59" s="98">
        <f t="shared" ref="C59:G59" si="45">C55+C56-C57-C58</f>
        <v>3584.2544740000003</v>
      </c>
      <c r="D59" s="98">
        <f t="shared" si="45"/>
        <v>3625.989474</v>
      </c>
      <c r="E59" s="98">
        <f t="shared" si="45"/>
        <v>3541.7509467999994</v>
      </c>
      <c r="F59" s="48">
        <f t="shared" si="45"/>
        <v>2099.8885839999998</v>
      </c>
      <c r="G59" s="48">
        <f t="shared" si="45"/>
        <v>3717.4604199999999</v>
      </c>
      <c r="H59" s="48">
        <f>H55+H56-H57-H58</f>
        <v>49259.074532999999</v>
      </c>
      <c r="I59" s="48">
        <f>I55+I56-I57-I58</f>
        <v>141077.85543400003</v>
      </c>
      <c r="J59" s="48">
        <f>J55+J56-J57-J58</f>
        <v>299876.61817199993</v>
      </c>
      <c r="K59" s="48">
        <f>K55+K56-K57-K58</f>
        <v>672792.3202975</v>
      </c>
      <c r="M59" s="16" t="s">
        <v>105</v>
      </c>
      <c r="N59" s="16"/>
      <c r="O59" s="13">
        <f t="shared" ref="O59:V59" si="46">O56/O57</f>
        <v>28.333333333333332</v>
      </c>
      <c r="P59" s="13">
        <f t="shared" si="46"/>
        <v>19.870129870129869</v>
      </c>
      <c r="Q59" s="13">
        <f t="shared" si="46"/>
        <v>13.397849462365592</v>
      </c>
      <c r="R59" s="13">
        <f t="shared" si="46"/>
        <v>4.056338028169014</v>
      </c>
      <c r="S59" s="13">
        <f t="shared" si="46"/>
        <v>1100</v>
      </c>
      <c r="T59" s="13">
        <f t="shared" si="46"/>
        <v>47.7158273381295</v>
      </c>
      <c r="U59" s="22" t="s">
        <v>87</v>
      </c>
      <c r="V59" s="117">
        <f t="shared" si="46"/>
        <v>24.527220630372494</v>
      </c>
      <c r="W59" s="106">
        <f>W56/W57</f>
        <v>49.215160796324653</v>
      </c>
    </row>
    <row r="60" spans="2:25">
      <c r="J60" s="109"/>
      <c r="K60" s="109"/>
      <c r="M60" s="16" t="s">
        <v>88</v>
      </c>
      <c r="N60" s="16"/>
      <c r="O60" s="7">
        <f t="shared" ref="O60:T60" si="47">O56/O58</f>
        <v>5.0359762538873207</v>
      </c>
      <c r="P60" s="7">
        <f t="shared" si="47"/>
        <v>4.0333294336543322</v>
      </c>
      <c r="Q60" s="7">
        <f t="shared" si="47"/>
        <v>2.5619300501138533</v>
      </c>
      <c r="R60" s="7">
        <f t="shared" si="47"/>
        <v>0.89818433785416762</v>
      </c>
      <c r="S60" s="7">
        <f t="shared" si="47"/>
        <v>1.5206813969719717</v>
      </c>
      <c r="T60" s="7">
        <f t="shared" si="47"/>
        <v>10.154785278670772</v>
      </c>
      <c r="U60" s="7">
        <f>U56/U58</f>
        <v>9.400140974786618</v>
      </c>
      <c r="V60" s="106">
        <f>V56/V58</f>
        <v>10.770612592257914</v>
      </c>
      <c r="W60" s="106">
        <f>W56/W58</f>
        <v>10.506324784563551</v>
      </c>
    </row>
    <row r="61" spans="2:25">
      <c r="I61" s="46"/>
      <c r="J61" s="109"/>
      <c r="K61" s="109"/>
      <c r="M61" s="16" t="s">
        <v>89</v>
      </c>
      <c r="N61" s="16"/>
      <c r="O61" s="13">
        <f t="shared" ref="O61:V61" si="48">C59/C15</f>
        <v>24.237423834028739</v>
      </c>
      <c r="P61" s="13">
        <f t="shared" si="48"/>
        <v>22.049727412038006</v>
      </c>
      <c r="Q61" s="13">
        <f t="shared" si="48"/>
        <v>22.477745637094056</v>
      </c>
      <c r="R61" s="7">
        <f t="shared" si="48"/>
        <v>9.9387013877056418</v>
      </c>
      <c r="S61" s="7">
        <f t="shared" si="48"/>
        <v>34.193605658676482</v>
      </c>
      <c r="T61" s="7">
        <f t="shared" si="48"/>
        <v>33.847403838172596</v>
      </c>
      <c r="U61" s="7">
        <f t="shared" si="48"/>
        <v>17.41057082981612</v>
      </c>
      <c r="V61" s="106">
        <f t="shared" si="48"/>
        <v>17.321293056617719</v>
      </c>
      <c r="W61" s="106">
        <f>K59/K15</f>
        <v>33.570293359088474</v>
      </c>
    </row>
    <row r="62" spans="2:25">
      <c r="D62" s="37"/>
      <c r="E62" s="36"/>
      <c r="J62" s="109"/>
      <c r="K62" s="109"/>
      <c r="M62" s="16" t="s">
        <v>100</v>
      </c>
      <c r="N62" s="16"/>
      <c r="O62" s="19">
        <f t="shared" ref="O62:W62" si="49">C27/O6</f>
        <v>8.239714774553869E-2</v>
      </c>
      <c r="P62" s="19">
        <f t="shared" si="49"/>
        <v>0.20174384106932836</v>
      </c>
      <c r="Q62" s="19">
        <f t="shared" si="49"/>
        <v>0.19060168955276274</v>
      </c>
      <c r="R62" s="19">
        <f t="shared" si="49"/>
        <v>0.22039950001904368</v>
      </c>
      <c r="S62" s="19">
        <f t="shared" si="49"/>
        <v>6.963004371648235E-4</v>
      </c>
      <c r="T62" s="19">
        <f t="shared" si="49"/>
        <v>0.20202104927470252</v>
      </c>
      <c r="U62" s="19">
        <f t="shared" si="49"/>
        <v>-0.18871774747375644</v>
      </c>
      <c r="V62" s="118">
        <f>J27/V6</f>
        <v>0.44218693856350522</v>
      </c>
      <c r="W62" s="118">
        <f>K27/W6</f>
        <v>0.22647498016282111</v>
      </c>
    </row>
    <row r="63" spans="2:25">
      <c r="J63" s="109"/>
      <c r="K63" s="109"/>
      <c r="M63" s="16" t="s">
        <v>101</v>
      </c>
      <c r="N63" s="16"/>
      <c r="O63" s="19">
        <f t="shared" ref="O63:W63" si="50">(C23+C21)/O12</f>
        <v>3.8190131564577276E-2</v>
      </c>
      <c r="P63" s="19">
        <f t="shared" si="50"/>
        <v>5.9433989228741123E-2</v>
      </c>
      <c r="Q63" s="19">
        <f t="shared" si="50"/>
        <v>6.292708938279927E-2</v>
      </c>
      <c r="R63" s="19">
        <f t="shared" si="50"/>
        <v>5.7332964171683751E-2</v>
      </c>
      <c r="S63" s="19">
        <f t="shared" si="50"/>
        <v>3.0061023043178037E-2</v>
      </c>
      <c r="T63" s="19">
        <f t="shared" si="50"/>
        <v>0.22293362834554906</v>
      </c>
      <c r="U63" s="19">
        <f t="shared" si="50"/>
        <v>0.55465018986934422</v>
      </c>
      <c r="V63" s="118">
        <f t="shared" si="50"/>
        <v>0.58687152730722303</v>
      </c>
      <c r="W63" s="118">
        <f t="shared" si="50"/>
        <v>0.26337317258869353</v>
      </c>
    </row>
    <row r="64" spans="2:25">
      <c r="M64" s="16" t="s">
        <v>102</v>
      </c>
      <c r="N64" s="16"/>
      <c r="O64" s="18">
        <f t="shared" ref="O64:W64" si="51">O11/O6</f>
        <v>0.38499372261500037</v>
      </c>
      <c r="P64" s="18">
        <f t="shared" si="51"/>
        <v>0.34561546670014431</v>
      </c>
      <c r="Q64" s="18">
        <f t="shared" si="51"/>
        <v>0.78786274808666679</v>
      </c>
      <c r="R64" s="18">
        <f t="shared" si="51"/>
        <v>0.68476477696486626</v>
      </c>
      <c r="S64" s="18">
        <f t="shared" si="51"/>
        <v>0.56483693774975252</v>
      </c>
      <c r="T64" s="18">
        <f t="shared" si="51"/>
        <v>0.11776145705560957</v>
      </c>
      <c r="U64" s="18">
        <f t="shared" si="51"/>
        <v>0</v>
      </c>
      <c r="V64" s="119">
        <f>V11/V6</f>
        <v>0</v>
      </c>
      <c r="W64" s="119">
        <f>W11/W6</f>
        <v>0.11804683448607649</v>
      </c>
    </row>
    <row r="65" spans="3:23">
      <c r="M65" s="16" t="s">
        <v>90</v>
      </c>
      <c r="N65" s="16"/>
      <c r="O65" s="18">
        <f t="shared" ref="O65:W65" si="52">(O11-SUM(O30:O31))/O6</f>
        <v>0.26431709592938568</v>
      </c>
      <c r="P65" s="18">
        <f t="shared" si="52"/>
        <v>0.2611213689223455</v>
      </c>
      <c r="Q65" s="18">
        <f t="shared" si="52"/>
        <v>0.7097895218168464</v>
      </c>
      <c r="R65" s="18">
        <f t="shared" si="52"/>
        <v>0.55597674603806635</v>
      </c>
      <c r="S65" s="18">
        <f t="shared" si="52"/>
        <v>0.52069818945412349</v>
      </c>
      <c r="T65" s="18">
        <f t="shared" si="52"/>
        <v>7.2349096067109195E-2</v>
      </c>
      <c r="U65" s="18">
        <f t="shared" si="52"/>
        <v>-0.17303378135321623</v>
      </c>
      <c r="V65" s="119">
        <f>(V11-SUM(V30:V31))/V6</f>
        <v>-0.10214986819027561</v>
      </c>
      <c r="W65" s="119">
        <f>(W11-SUM(W30:W31))/W6</f>
        <v>2.574147313702339E-3</v>
      </c>
    </row>
    <row r="66" spans="3:23">
      <c r="M66" s="16" t="s">
        <v>91</v>
      </c>
      <c r="N66" s="16"/>
      <c r="O66" s="20">
        <f t="shared" ref="O66:W66" si="53">AVERAGE(N29:O29/C4)*365</f>
        <v>9.9638621850223199</v>
      </c>
      <c r="P66" s="20">
        <f t="shared" si="53"/>
        <v>13.676794580868577</v>
      </c>
      <c r="Q66" s="20">
        <f t="shared" si="53"/>
        <v>17.665460668775697</v>
      </c>
      <c r="R66" s="20">
        <f t="shared" si="53"/>
        <v>7.7445129512910933</v>
      </c>
      <c r="S66" s="20">
        <f t="shared" si="53"/>
        <v>9.9547012766434335</v>
      </c>
      <c r="T66" s="20">
        <f t="shared" si="53"/>
        <v>12.421366240601783</v>
      </c>
      <c r="U66" s="20">
        <f t="shared" si="53"/>
        <v>2.6371852808263396</v>
      </c>
      <c r="V66" s="120">
        <f t="shared" si="53"/>
        <v>4.4703010889473003</v>
      </c>
      <c r="W66" s="120">
        <f t="shared" si="53"/>
        <v>9.3088195911566043</v>
      </c>
    </row>
    <row r="67" spans="3:23">
      <c r="M67" s="16" t="s">
        <v>92</v>
      </c>
      <c r="N67" s="3"/>
      <c r="O67" s="20">
        <f t="shared" ref="O67:T67" si="54">(AVERAGE(N38:O38)/C9)*365</f>
        <v>3.680672110068083</v>
      </c>
      <c r="P67" s="20">
        <f t="shared" si="54"/>
        <v>4.3672941112068679</v>
      </c>
      <c r="Q67" s="20">
        <f t="shared" si="54"/>
        <v>3.6607999490384477</v>
      </c>
      <c r="R67" s="20">
        <f t="shared" si="54"/>
        <v>17.874100925642296</v>
      </c>
      <c r="S67" s="20">
        <f t="shared" si="54"/>
        <v>78.668228778621156</v>
      </c>
      <c r="T67" s="20">
        <f t="shared" si="54"/>
        <v>50.320906645438328</v>
      </c>
      <c r="U67" s="20">
        <f>(AVERAGE(T38:U38)/(I10+I11+I12)*365)</f>
        <v>25.692349526965732</v>
      </c>
      <c r="V67" s="120">
        <f>(AVERAGE(U37:V37)/(J10+J11+J12)*365)</f>
        <v>20.74328429011576</v>
      </c>
      <c r="W67" s="120">
        <f>(AVERAGE(V37:W37)/(K10+K11+K12)*365)</f>
        <v>19.061657086406363</v>
      </c>
    </row>
    <row r="68" spans="3:23">
      <c r="M68" s="16" t="s">
        <v>93</v>
      </c>
      <c r="N68" s="3"/>
      <c r="O68" s="20">
        <f t="shared" ref="O68:T68" si="55">(AVERAGE(N26:O26)/C9)*365</f>
        <v>58.916176814051411</v>
      </c>
      <c r="P68" s="20">
        <f t="shared" si="55"/>
        <v>62.322949122426387</v>
      </c>
      <c r="Q68" s="20">
        <f t="shared" si="55"/>
        <v>55.952925782472185</v>
      </c>
      <c r="R68" s="20">
        <f t="shared" si="55"/>
        <v>82.116114715299545</v>
      </c>
      <c r="S68" s="20">
        <f t="shared" si="55"/>
        <v>150.36347758611237</v>
      </c>
      <c r="T68" s="20">
        <f t="shared" si="55"/>
        <v>93.421352397047187</v>
      </c>
      <c r="U68" s="20">
        <f>(AVERAGE(T26:U26)/(I10+I11+I12)*365)</f>
        <v>147.51590589302575</v>
      </c>
      <c r="V68" s="120">
        <f>(AVERAGE(U26:V26)/(J10+J11+J12)*365)</f>
        <v>22.122282917809244</v>
      </c>
      <c r="W68" s="120">
        <f>(AVERAGE(V26:W26)/(K10+K11+K12)*365)</f>
        <v>29.290445324719979</v>
      </c>
    </row>
    <row r="69" spans="3:23">
      <c r="G69" s="17"/>
      <c r="H69" s="17"/>
      <c r="M69" s="16" t="s">
        <v>94</v>
      </c>
      <c r="N69" s="3"/>
      <c r="O69" s="20">
        <f>O66+O68-O67</f>
        <v>65.199366889005645</v>
      </c>
      <c r="P69" s="20">
        <f>P66+P68-P67</f>
        <v>71.632449592088093</v>
      </c>
      <c r="Q69" s="20">
        <f t="shared" ref="Q69:S69" si="56">Q66+Q68-Q67</f>
        <v>69.957586502209438</v>
      </c>
      <c r="R69" s="20">
        <f t="shared" si="56"/>
        <v>71.986526740948349</v>
      </c>
      <c r="S69" s="20">
        <f t="shared" si="56"/>
        <v>81.649950084134659</v>
      </c>
      <c r="T69" s="20">
        <f>T66+T68-T67</f>
        <v>55.521811992210644</v>
      </c>
      <c r="U69" s="20">
        <f>U66+U68-U67</f>
        <v>124.46074164688636</v>
      </c>
      <c r="V69" s="120">
        <f>V66+V68-V67</f>
        <v>5.8492997166407861</v>
      </c>
      <c r="W69" s="120">
        <f>W66+W68-W67</f>
        <v>19.537607829470218</v>
      </c>
    </row>
    <row r="70" spans="3:23">
      <c r="M70" s="16" t="s">
        <v>103</v>
      </c>
      <c r="N70" s="16"/>
      <c r="O70" s="23">
        <f t="shared" ref="O70:W70" si="57">C4/(AVERAGE(N17:O17))</f>
        <v>1.3092621699929932</v>
      </c>
      <c r="P70" s="23">
        <f t="shared" si="57"/>
        <v>1.2413245816566221</v>
      </c>
      <c r="Q70" s="23">
        <f t="shared" si="57"/>
        <v>1.3512831115339679</v>
      </c>
      <c r="R70" s="23">
        <f t="shared" si="57"/>
        <v>1.0196890151350466</v>
      </c>
      <c r="S70" s="23">
        <f t="shared" si="57"/>
        <v>0.69252687877451669</v>
      </c>
      <c r="T70" s="23">
        <f t="shared" si="57"/>
        <v>1.8356382565763936</v>
      </c>
      <c r="U70" s="23">
        <f t="shared" si="57"/>
        <v>7.7656845568224133</v>
      </c>
      <c r="V70" s="121">
        <f t="shared" si="57"/>
        <v>7.9990805161369414</v>
      </c>
      <c r="W70" s="121">
        <f t="shared" si="57"/>
        <v>5.0005579817428378</v>
      </c>
    </row>
    <row r="71" spans="3:23" ht="14.65" hidden="1" customHeight="1">
      <c r="C71" s="17"/>
      <c r="D71" s="17"/>
      <c r="E71" s="17"/>
      <c r="F71" s="17"/>
      <c r="G71" s="17"/>
      <c r="H71" s="17"/>
      <c r="I71" s="17"/>
      <c r="M71" s="16" t="s">
        <v>104</v>
      </c>
      <c r="N71" s="16"/>
      <c r="O71" s="21" t="s">
        <v>87</v>
      </c>
      <c r="P71" s="21" t="s">
        <v>87</v>
      </c>
      <c r="Q71" s="21" t="s">
        <v>87</v>
      </c>
      <c r="R71" s="21" t="s">
        <v>87</v>
      </c>
      <c r="S71" s="21" t="s">
        <v>87</v>
      </c>
      <c r="T71" s="3"/>
      <c r="U71" s="19" t="e">
        <f>I36/U15</f>
        <v>#DIV/0!</v>
      </c>
      <c r="V71" s="122" t="s">
        <v>87</v>
      </c>
      <c r="W71" s="122" t="s">
        <v>87</v>
      </c>
    </row>
    <row r="72" spans="3:23">
      <c r="M72" s="16" t="s">
        <v>95</v>
      </c>
      <c r="N72" s="3"/>
      <c r="O72" s="13">
        <f t="shared" ref="O72:W72" si="58">(AVERAGE(N44:O44)/C4)*365</f>
        <v>53.189660310524367</v>
      </c>
      <c r="P72" s="13">
        <f t="shared" si="58"/>
        <v>58.34724527887839</v>
      </c>
      <c r="Q72" s="13">
        <f t="shared" si="58"/>
        <v>68.650137361399828</v>
      </c>
      <c r="R72" s="13">
        <f t="shared" si="58"/>
        <v>98.131545923349449</v>
      </c>
      <c r="S72" s="13">
        <f t="shared" si="58"/>
        <v>143.3004829785479</v>
      </c>
      <c r="T72" s="13">
        <f t="shared" si="58"/>
        <v>78.040834873836445</v>
      </c>
      <c r="U72" s="13">
        <f t="shared" si="58"/>
        <v>35.78823434473852</v>
      </c>
      <c r="V72" s="117">
        <f t="shared" si="58"/>
        <v>17.229483573831534</v>
      </c>
      <c r="W72" s="117">
        <f t="shared" si="58"/>
        <v>28.490407504388962</v>
      </c>
    </row>
  </sheetData>
  <mergeCells count="4">
    <mergeCell ref="M54:W54"/>
    <mergeCell ref="M2:W2"/>
    <mergeCell ref="B2:K2"/>
    <mergeCell ref="B1:W1"/>
  </mergeCells>
  <pageMargins left="0.7" right="0.7" top="0.75" bottom="0.75" header="0.3" footer="0.3"/>
  <pageSetup orientation="portrait" r:id="rId1"/>
  <ignoredErrors>
    <ignoredError sqref="R66:V70 R65:U65 V65:W65" formulaRange="1"/>
    <ignoredError sqref="J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I46"/>
  <sheetViews>
    <sheetView workbookViewId="0">
      <selection activeCell="A10" sqref="A10"/>
    </sheetView>
  </sheetViews>
  <sheetFormatPr defaultRowHeight="15"/>
  <cols>
    <col min="1" max="1" width="23" bestFit="1" customWidth="1"/>
    <col min="3" max="3" width="34.85546875" bestFit="1" customWidth="1"/>
    <col min="9" max="9" width="15.28515625" customWidth="1"/>
    <col min="10" max="10" width="36.7109375" bestFit="1" customWidth="1"/>
  </cols>
  <sheetData>
    <row r="2" spans="1:7">
      <c r="A2" t="s">
        <v>74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107</v>
      </c>
    </row>
    <row r="3" spans="1:7">
      <c r="A3" t="s">
        <v>75</v>
      </c>
      <c r="B3">
        <v>55.718999999999866</v>
      </c>
      <c r="C3">
        <v>170.33699999999993</v>
      </c>
      <c r="D3">
        <v>206.33300000000003</v>
      </c>
      <c r="E3">
        <v>130.9370000000001</v>
      </c>
      <c r="F3">
        <v>1.2730000000003088</v>
      </c>
      <c r="G3">
        <v>877.96799999999882</v>
      </c>
    </row>
    <row r="4" spans="1:7">
      <c r="A4" t="s">
        <v>76</v>
      </c>
      <c r="B4">
        <v>129.73400000000001</v>
      </c>
      <c r="C4">
        <v>136.80099999999999</v>
      </c>
      <c r="D4">
        <v>150.78200000000001</v>
      </c>
      <c r="E4">
        <v>175.54</v>
      </c>
      <c r="F4">
        <v>138.25299999999999</v>
      </c>
      <c r="G4">
        <v>179.84899999999999</v>
      </c>
    </row>
    <row r="5" spans="1:7">
      <c r="A5" t="s">
        <v>139</v>
      </c>
      <c r="B5">
        <v>84.846000000000004</v>
      </c>
      <c r="C5">
        <v>-5.6709999999999976</v>
      </c>
      <c r="D5">
        <v>51.742999999999995</v>
      </c>
      <c r="E5">
        <v>132.756</v>
      </c>
      <c r="F5">
        <v>81.948999999999998</v>
      </c>
      <c r="G5">
        <v>102.032</v>
      </c>
    </row>
    <row r="6" spans="1:7">
      <c r="A6" t="s">
        <v>77</v>
      </c>
      <c r="B6">
        <v>240.01400000000004</v>
      </c>
      <c r="C6">
        <v>241.85500000000002</v>
      </c>
      <c r="D6">
        <v>-792.74739999999997</v>
      </c>
      <c r="E6">
        <v>75.418000000000049</v>
      </c>
      <c r="F6">
        <v>-370.07799999999997</v>
      </c>
      <c r="G6">
        <v>-1938.9169999999999</v>
      </c>
    </row>
    <row r="7" spans="1:7">
      <c r="A7" t="s">
        <v>140</v>
      </c>
      <c r="B7">
        <v>-1.498</v>
      </c>
      <c r="C7">
        <v>0.28100000000000003</v>
      </c>
      <c r="D7">
        <v>1.325</v>
      </c>
      <c r="E7">
        <v>1.006</v>
      </c>
      <c r="F7">
        <v>0.79700000000000004</v>
      </c>
      <c r="G7">
        <v>3.0169999999999999</v>
      </c>
    </row>
    <row r="8" spans="1:7">
      <c r="A8" t="s">
        <v>78</v>
      </c>
      <c r="B8">
        <v>511.81099999999986</v>
      </c>
      <c r="C8">
        <v>543.60299999999984</v>
      </c>
      <c r="D8">
        <v>-382.56439999999998</v>
      </c>
      <c r="E8">
        <v>515.65700000000015</v>
      </c>
      <c r="F8">
        <v>-149.39999999999969</v>
      </c>
      <c r="G8">
        <v>-782.08500000000106</v>
      </c>
    </row>
    <row r="9" spans="1:7">
      <c r="A9" t="s">
        <v>79</v>
      </c>
      <c r="B9">
        <v>402.02200000000005</v>
      </c>
      <c r="C9">
        <v>420.27099999999979</v>
      </c>
      <c r="D9">
        <v>250.19500000000002</v>
      </c>
      <c r="E9">
        <v>303.23300000000017</v>
      </c>
      <c r="F9">
        <v>37.657999999999731</v>
      </c>
      <c r="G9">
        <v>561.65300000000002</v>
      </c>
    </row>
    <row r="10" spans="1:7">
      <c r="A10" t="s">
        <v>80</v>
      </c>
      <c r="B10">
        <v>109.78899999999982</v>
      </c>
      <c r="C10">
        <v>123.33200000000005</v>
      </c>
      <c r="D10">
        <v>-632.75940000000003</v>
      </c>
      <c r="E10">
        <v>212.42399999999998</v>
      </c>
      <c r="F10">
        <v>-187.05799999999942</v>
      </c>
      <c r="G10">
        <v>-1343.7380000000012</v>
      </c>
    </row>
    <row r="46" spans="9:9">
      <c r="I46" t="s">
        <v>131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3"/>
  <sheetViews>
    <sheetView workbookViewId="0">
      <selection activeCell="B17" sqref="B17"/>
    </sheetView>
  </sheetViews>
  <sheetFormatPr defaultRowHeight="15"/>
  <cols>
    <col min="1" max="1" width="31.42578125" customWidth="1"/>
    <col min="2" max="2" width="41.7109375" customWidth="1"/>
  </cols>
  <sheetData>
    <row r="1" spans="1:2">
      <c r="A1" s="38" t="s">
        <v>136</v>
      </c>
      <c r="B1" s="39" t="s">
        <v>137</v>
      </c>
    </row>
    <row r="2" spans="1:2">
      <c r="A2" s="40"/>
      <c r="B2" s="41"/>
    </row>
    <row r="3" spans="1:2">
      <c r="A3" s="40"/>
      <c r="B3" s="41"/>
    </row>
    <row r="4" spans="1:2">
      <c r="A4" s="40"/>
      <c r="B4" s="41"/>
    </row>
    <row r="5" spans="1:2">
      <c r="A5" s="40"/>
      <c r="B5" s="41"/>
    </row>
    <row r="6" spans="1:2">
      <c r="A6" s="40"/>
      <c r="B6" s="42"/>
    </row>
    <row r="7" spans="1:2">
      <c r="A7" s="40"/>
      <c r="B7" s="41"/>
    </row>
    <row r="8" spans="1:2">
      <c r="A8" s="40"/>
      <c r="B8" s="41"/>
    </row>
    <row r="9" spans="1:2">
      <c r="A9" s="40"/>
      <c r="B9" s="41"/>
    </row>
    <row r="10" spans="1:2">
      <c r="A10" s="40"/>
      <c r="B10" s="41"/>
    </row>
    <row r="11" spans="1:2">
      <c r="A11" s="40"/>
      <c r="B11" s="41"/>
    </row>
    <row r="12" spans="1:2">
      <c r="A12" s="40"/>
      <c r="B12" s="41"/>
    </row>
    <row r="13" spans="1:2">
      <c r="A13" s="43"/>
      <c r="B13" s="44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3:J24"/>
  <sheetViews>
    <sheetView topLeftCell="A4" workbookViewId="0">
      <selection activeCell="D5" sqref="D5"/>
    </sheetView>
  </sheetViews>
  <sheetFormatPr defaultRowHeight="15"/>
  <cols>
    <col min="2" max="2" width="34.7109375" bestFit="1" customWidth="1"/>
    <col min="3" max="5" width="9.7109375" bestFit="1" customWidth="1"/>
    <col min="7" max="7" width="32.42578125" bestFit="1" customWidth="1"/>
    <col min="8" max="10" width="9.7109375" bestFit="1" customWidth="1"/>
  </cols>
  <sheetData>
    <row r="3" spans="2:10">
      <c r="B3" s="1" t="s">
        <v>118</v>
      </c>
      <c r="C3" s="9" t="s">
        <v>5</v>
      </c>
      <c r="D3" s="9" t="s">
        <v>6</v>
      </c>
      <c r="E3" s="9" t="s">
        <v>7</v>
      </c>
      <c r="G3" s="1" t="s">
        <v>118</v>
      </c>
      <c r="H3" s="9" t="s">
        <v>5</v>
      </c>
      <c r="I3" s="9" t="s">
        <v>6</v>
      </c>
      <c r="J3" s="9" t="s">
        <v>7</v>
      </c>
    </row>
    <row r="4" spans="2:10">
      <c r="B4" s="1" t="s">
        <v>113</v>
      </c>
      <c r="C4" s="24">
        <f>SUM(C5:C6)</f>
        <v>6732.9110000000001</v>
      </c>
      <c r="D4" s="24">
        <f>SUM(D5:D6)</f>
        <v>10648.448</v>
      </c>
      <c r="E4" s="24">
        <f t="shared" ref="E4" si="0">SUM(E5:E6)</f>
        <v>12205.86</v>
      </c>
      <c r="G4" s="1" t="s">
        <v>34</v>
      </c>
      <c r="H4" s="24">
        <f>SUM(H5:H12)</f>
        <v>3877.6019999999999</v>
      </c>
      <c r="I4" s="24">
        <v>3903</v>
      </c>
      <c r="J4" s="24">
        <v>4186</v>
      </c>
    </row>
    <row r="5" spans="2:10">
      <c r="B5" s="3" t="s">
        <v>27</v>
      </c>
      <c r="C5" s="25">
        <v>964.36099999999999</v>
      </c>
      <c r="D5" s="25">
        <v>940.20699999999999</v>
      </c>
      <c r="E5" s="25">
        <v>940.20699999999999</v>
      </c>
      <c r="G5" s="3" t="s">
        <v>35</v>
      </c>
      <c r="H5" s="33">
        <v>3416.2570000000001</v>
      </c>
      <c r="I5" s="25">
        <v>3189.48</v>
      </c>
      <c r="J5" s="25">
        <v>3086.8429999999998</v>
      </c>
    </row>
    <row r="6" spans="2:10">
      <c r="B6" s="3" t="s">
        <v>28</v>
      </c>
      <c r="C6" s="33">
        <v>5768.55</v>
      </c>
      <c r="D6" s="33">
        <v>9708.241</v>
      </c>
      <c r="E6" s="33">
        <v>11265.653</v>
      </c>
      <c r="G6" s="3" t="s">
        <v>36</v>
      </c>
      <c r="H6" s="35">
        <v>8.0229999999999997</v>
      </c>
      <c r="I6" s="33">
        <v>6.3639999999999999</v>
      </c>
      <c r="J6" s="33">
        <v>7.1310000000000002</v>
      </c>
    </row>
    <row r="7" spans="2:10">
      <c r="B7" s="1" t="s">
        <v>114</v>
      </c>
      <c r="C7" s="25"/>
      <c r="D7" s="25"/>
      <c r="E7" s="25"/>
      <c r="G7" s="3" t="s">
        <v>37</v>
      </c>
      <c r="H7" s="33">
        <v>84.025000000000006</v>
      </c>
      <c r="I7" s="33">
        <v>90.662999999999997</v>
      </c>
      <c r="J7" s="33">
        <v>387.02</v>
      </c>
    </row>
    <row r="8" spans="2:10">
      <c r="B8" s="32" t="s">
        <v>115</v>
      </c>
      <c r="C8" s="24">
        <f>SUM(C9:C12)</f>
        <v>608.73599999999999</v>
      </c>
      <c r="D8" s="24">
        <f>SUM(D9:D12)</f>
        <v>689.45399999999995</v>
      </c>
      <c r="E8" s="24">
        <f t="shared" ref="E8" si="1">SUM(E9:E12)</f>
        <v>642.61900000000003</v>
      </c>
      <c r="G8" s="3" t="s">
        <v>64</v>
      </c>
      <c r="H8" s="25">
        <v>284.738</v>
      </c>
      <c r="I8" s="25">
        <v>392.56099999999998</v>
      </c>
      <c r="J8" s="25">
        <v>366.04300000000001</v>
      </c>
    </row>
    <row r="9" spans="2:10">
      <c r="B9" s="3" t="s">
        <v>46</v>
      </c>
      <c r="C9" s="33">
        <v>29.106000000000002</v>
      </c>
      <c r="D9" s="33">
        <v>36.94</v>
      </c>
      <c r="E9" s="33">
        <v>36.950000000000003</v>
      </c>
      <c r="G9" s="3" t="s">
        <v>38</v>
      </c>
      <c r="H9" s="25"/>
      <c r="I9" s="25"/>
      <c r="J9" s="25"/>
    </row>
    <row r="10" spans="2:10">
      <c r="B10" s="12" t="s">
        <v>59</v>
      </c>
      <c r="C10" s="34">
        <v>34.649000000000001</v>
      </c>
      <c r="D10" s="34">
        <v>33.377000000000002</v>
      </c>
      <c r="E10" s="34">
        <v>32.326000000000001</v>
      </c>
      <c r="G10" s="10" t="s">
        <v>49</v>
      </c>
      <c r="H10" s="33">
        <v>12.506</v>
      </c>
      <c r="I10" s="33">
        <v>8.5169999999999995</v>
      </c>
      <c r="J10" s="33">
        <v>10.353999999999999</v>
      </c>
    </row>
    <row r="11" spans="2:10">
      <c r="B11" s="3" t="s">
        <v>65</v>
      </c>
      <c r="C11" s="25">
        <v>170.71700000000001</v>
      </c>
      <c r="D11" s="25">
        <v>262.22199999999998</v>
      </c>
      <c r="E11" s="25">
        <v>226.93</v>
      </c>
      <c r="G11" s="10" t="s">
        <v>39</v>
      </c>
      <c r="H11" s="33">
        <v>41.198</v>
      </c>
      <c r="I11" s="33">
        <v>2.7909999999999999</v>
      </c>
      <c r="J11" s="33">
        <v>0</v>
      </c>
    </row>
    <row r="12" spans="2:10">
      <c r="B12" s="3" t="s">
        <v>58</v>
      </c>
      <c r="C12" s="25">
        <v>374.26400000000001</v>
      </c>
      <c r="D12" s="25">
        <v>356.91500000000002</v>
      </c>
      <c r="E12" s="25">
        <v>346.41300000000001</v>
      </c>
      <c r="G12" s="3" t="s">
        <v>40</v>
      </c>
      <c r="H12" s="33">
        <v>30.855</v>
      </c>
      <c r="I12" s="33">
        <v>212.40799999999999</v>
      </c>
      <c r="J12" s="33">
        <v>328.74400000000003</v>
      </c>
    </row>
    <row r="13" spans="2:10">
      <c r="B13" s="31" t="s">
        <v>116</v>
      </c>
      <c r="C13" s="24">
        <f>SUM(C15:C20)</f>
        <v>5209.0429999999988</v>
      </c>
      <c r="D13" s="24">
        <f t="shared" ref="D13:E13" si="2">SUM(D15:D20)</f>
        <v>6216.1209999999992</v>
      </c>
      <c r="E13" s="24">
        <f t="shared" si="2"/>
        <v>6901.5029999999997</v>
      </c>
      <c r="G13" s="1" t="s">
        <v>119</v>
      </c>
      <c r="H13" s="24">
        <f>SUM(H14:H23)</f>
        <v>8673.3479999999981</v>
      </c>
      <c r="I13" s="24">
        <v>13651</v>
      </c>
      <c r="J13" s="24">
        <v>15564</v>
      </c>
    </row>
    <row r="14" spans="2:10">
      <c r="B14" s="3" t="s">
        <v>60</v>
      </c>
      <c r="C14" s="25"/>
      <c r="D14" s="25"/>
      <c r="E14" s="25"/>
      <c r="G14" s="3" t="s">
        <v>41</v>
      </c>
      <c r="H14" s="35">
        <v>2584.6990000000001</v>
      </c>
      <c r="I14" s="33">
        <v>3178.08</v>
      </c>
      <c r="J14" s="33">
        <v>3406.86</v>
      </c>
    </row>
    <row r="15" spans="2:10">
      <c r="B15" s="3" t="s">
        <v>61</v>
      </c>
      <c r="C15" s="33">
        <v>4761.6479999999992</v>
      </c>
      <c r="D15" s="33">
        <v>5685.5119999999997</v>
      </c>
      <c r="E15" s="33">
        <v>6037.1239999999998</v>
      </c>
      <c r="G15" s="3" t="s">
        <v>38</v>
      </c>
      <c r="H15" s="25"/>
      <c r="I15" s="25"/>
      <c r="J15" s="25"/>
    </row>
    <row r="16" spans="2:10">
      <c r="B16" s="3" t="s">
        <v>62</v>
      </c>
      <c r="C16" s="33">
        <v>196.81899999999999</v>
      </c>
      <c r="D16" s="33">
        <v>192.26</v>
      </c>
      <c r="E16" s="33">
        <v>202.53700000000001</v>
      </c>
      <c r="G16" s="3" t="s">
        <v>50</v>
      </c>
      <c r="H16" s="25">
        <v>1348.126</v>
      </c>
      <c r="I16" s="25">
        <v>4702.8310000000001</v>
      </c>
      <c r="J16" s="25">
        <v>6846.857</v>
      </c>
    </row>
    <row r="17" spans="2:10">
      <c r="B17" s="3" t="s">
        <v>66</v>
      </c>
      <c r="C17" s="25">
        <v>122.116</v>
      </c>
      <c r="D17" s="25">
        <v>148.37799999999999</v>
      </c>
      <c r="E17" s="25">
        <v>166.779</v>
      </c>
      <c r="G17" s="11" t="s">
        <v>51</v>
      </c>
      <c r="H17" s="33">
        <v>2480.8319999999999</v>
      </c>
      <c r="I17" s="33">
        <v>3833.3539999999998</v>
      </c>
      <c r="J17" s="33">
        <v>2969.357</v>
      </c>
    </row>
    <row r="18" spans="2:10">
      <c r="B18" s="3" t="s">
        <v>43</v>
      </c>
      <c r="C18" s="33">
        <v>104.455</v>
      </c>
      <c r="D18" s="33">
        <v>152.40600000000001</v>
      </c>
      <c r="E18" s="33">
        <v>278.55200000000002</v>
      </c>
      <c r="G18" s="11" t="s">
        <v>52</v>
      </c>
      <c r="H18" s="33">
        <v>1709.0440000000001</v>
      </c>
      <c r="I18" s="33">
        <v>660.77099999999996</v>
      </c>
      <c r="J18" s="33">
        <v>1009.53</v>
      </c>
    </row>
    <row r="19" spans="2:10">
      <c r="B19" s="3" t="s">
        <v>44</v>
      </c>
      <c r="C19" s="33">
        <v>21.364000000000001</v>
      </c>
      <c r="D19" s="33">
        <v>24.673999999999999</v>
      </c>
      <c r="E19" s="33">
        <v>23.074000000000002</v>
      </c>
      <c r="G19" s="11" t="s">
        <v>53</v>
      </c>
      <c r="H19" s="33">
        <v>49.481000000000002</v>
      </c>
      <c r="I19" s="33">
        <v>406.72399999999999</v>
      </c>
      <c r="J19" s="33">
        <v>298.89600000000002</v>
      </c>
    </row>
    <row r="20" spans="2:10">
      <c r="B20" s="3" t="s">
        <v>63</v>
      </c>
      <c r="C20" s="25">
        <v>2.641</v>
      </c>
      <c r="D20" s="25">
        <v>12.891</v>
      </c>
      <c r="E20" s="25">
        <v>193.43700000000001</v>
      </c>
      <c r="G20" s="3" t="s">
        <v>54</v>
      </c>
      <c r="H20" s="33">
        <v>8.9749999999999996</v>
      </c>
      <c r="I20" s="33">
        <v>6.4450000000000003</v>
      </c>
      <c r="J20" s="33">
        <v>7.03</v>
      </c>
    </row>
    <row r="21" spans="2:10">
      <c r="B21" s="32" t="s">
        <v>48</v>
      </c>
      <c r="C21" s="24">
        <f>C13+C8</f>
        <v>5817.7789999999986</v>
      </c>
      <c r="D21" s="24">
        <f t="shared" ref="D21:E21" si="3">D13+D8</f>
        <v>6905.5749999999989</v>
      </c>
      <c r="E21" s="24">
        <f t="shared" si="3"/>
        <v>7544.1219999999994</v>
      </c>
      <c r="G21" s="11" t="s">
        <v>55</v>
      </c>
      <c r="H21" s="33">
        <v>71.988</v>
      </c>
      <c r="I21" s="33">
        <v>567.91600000000005</v>
      </c>
      <c r="J21" s="33">
        <v>647.68700000000001</v>
      </c>
    </row>
    <row r="22" spans="2:10">
      <c r="B22" s="1" t="s">
        <v>117</v>
      </c>
      <c r="C22" s="24">
        <f>C21+C4</f>
        <v>12550.689999999999</v>
      </c>
      <c r="D22" s="24">
        <f t="shared" ref="D22:E22" si="4">D21+D4</f>
        <v>17554.023000000001</v>
      </c>
      <c r="E22" s="24">
        <f t="shared" si="4"/>
        <v>19749.982</v>
      </c>
      <c r="G22" s="3" t="s">
        <v>56</v>
      </c>
      <c r="H22" s="25">
        <v>102.75700000000001</v>
      </c>
      <c r="I22" s="25">
        <v>84.605999999999995</v>
      </c>
      <c r="J22" s="25">
        <v>79.823999999999998</v>
      </c>
    </row>
    <row r="23" spans="2:10">
      <c r="G23" s="3" t="s">
        <v>57</v>
      </c>
      <c r="H23" s="25">
        <v>317.44600000000003</v>
      </c>
      <c r="I23" s="25">
        <v>209.86600000000001</v>
      </c>
      <c r="J23" s="25">
        <v>297.25099999999998</v>
      </c>
    </row>
    <row r="24" spans="2:10">
      <c r="G24" s="1" t="s">
        <v>120</v>
      </c>
      <c r="H24" s="24">
        <f>SUM(H13+H4)</f>
        <v>12550.949999999997</v>
      </c>
      <c r="I24" s="24">
        <v>17554</v>
      </c>
      <c r="J24" s="24">
        <f t="shared" ref="J24" si="5">SUM(J13+J4)</f>
        <v>19750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3:F17"/>
  <sheetViews>
    <sheetView workbookViewId="0">
      <selection activeCell="G11" sqref="G11"/>
    </sheetView>
  </sheetViews>
  <sheetFormatPr defaultRowHeight="15"/>
  <cols>
    <col min="2" max="2" width="34.85546875" bestFit="1" customWidth="1"/>
    <col min="3" max="6" width="9.7109375" bestFit="1" customWidth="1"/>
  </cols>
  <sheetData>
    <row r="3" spans="2:6">
      <c r="B3" s="1" t="s">
        <v>1</v>
      </c>
      <c r="C3" s="2" t="s">
        <v>4</v>
      </c>
      <c r="D3" s="2" t="s">
        <v>5</v>
      </c>
      <c r="E3" s="2" t="s">
        <v>6</v>
      </c>
      <c r="F3" s="2" t="s">
        <v>8</v>
      </c>
    </row>
    <row r="4" spans="2:6">
      <c r="B4" s="1" t="s">
        <v>9</v>
      </c>
      <c r="C4" s="24">
        <v>31938.06</v>
      </c>
      <c r="D4" s="24">
        <v>27242.45</v>
      </c>
      <c r="E4" s="24">
        <v>31851.72</v>
      </c>
      <c r="F4" s="24">
        <v>35345.589999999997</v>
      </c>
    </row>
    <row r="5" spans="2:6">
      <c r="B5" s="3" t="s">
        <v>12</v>
      </c>
      <c r="C5" s="25">
        <v>31004.510000000002</v>
      </c>
      <c r="D5" s="25">
        <v>25757.500000000004</v>
      </c>
      <c r="E5" s="25">
        <v>25162.45</v>
      </c>
      <c r="F5" s="25">
        <v>29369.449999999993</v>
      </c>
    </row>
    <row r="6" spans="2:6">
      <c r="B6" s="1" t="s">
        <v>108</v>
      </c>
      <c r="C6" s="24">
        <v>933.54999999999927</v>
      </c>
      <c r="D6" s="24">
        <v>1484.9499999999971</v>
      </c>
      <c r="E6" s="24">
        <v>6689.27</v>
      </c>
      <c r="F6" s="24">
        <v>5976.1400000000031</v>
      </c>
    </row>
    <row r="7" spans="2:6">
      <c r="B7" s="28" t="s">
        <v>109</v>
      </c>
      <c r="C7" s="29">
        <f>C6/C4</f>
        <v>2.9230015849428526E-2</v>
      </c>
      <c r="D7" s="29">
        <f t="shared" ref="D7:F7" si="0">D6/D4</f>
        <v>5.4508680386675834E-2</v>
      </c>
      <c r="E7" s="29">
        <f t="shared" si="0"/>
        <v>0.21001283447173341</v>
      </c>
      <c r="F7" s="29">
        <f t="shared" si="0"/>
        <v>0.16907738702338831</v>
      </c>
    </row>
    <row r="8" spans="2:6">
      <c r="B8" s="3" t="s">
        <v>16</v>
      </c>
      <c r="C8" s="7">
        <v>232.72</v>
      </c>
      <c r="D8" s="7">
        <v>360.3</v>
      </c>
      <c r="E8" s="7">
        <v>391.43</v>
      </c>
      <c r="F8" s="7">
        <v>314.73</v>
      </c>
    </row>
    <row r="9" spans="2:6">
      <c r="B9" s="3" t="s">
        <v>17</v>
      </c>
      <c r="C9" s="25">
        <v>39.03</v>
      </c>
      <c r="D9" s="25">
        <v>64.94</v>
      </c>
      <c r="E9" s="25">
        <v>72.7</v>
      </c>
      <c r="F9" s="25">
        <v>45.28</v>
      </c>
    </row>
    <row r="10" spans="2:6">
      <c r="B10" s="3" t="s">
        <v>18</v>
      </c>
      <c r="C10" s="25">
        <v>99.8</v>
      </c>
      <c r="D10" s="25">
        <v>119.21</v>
      </c>
      <c r="E10" s="25">
        <v>212.78</v>
      </c>
      <c r="F10" s="25">
        <v>211.11</v>
      </c>
    </row>
    <row r="11" spans="2:6">
      <c r="B11" s="1" t="s">
        <v>19</v>
      </c>
      <c r="C11" s="24">
        <v>761.59999999999923</v>
      </c>
      <c r="D11" s="24">
        <v>1178.9199999999971</v>
      </c>
      <c r="E11" s="24">
        <v>6437.92</v>
      </c>
      <c r="F11" s="24">
        <v>5827.2400000000034</v>
      </c>
    </row>
    <row r="12" spans="2:6">
      <c r="B12" s="3" t="s">
        <v>110</v>
      </c>
      <c r="C12" s="25">
        <v>269.56</v>
      </c>
      <c r="D12" s="25">
        <v>152.4</v>
      </c>
      <c r="E12" s="25">
        <v>1662.91</v>
      </c>
      <c r="F12" s="25">
        <v>1448.58</v>
      </c>
    </row>
    <row r="13" spans="2:6">
      <c r="B13" s="1" t="s">
        <v>21</v>
      </c>
      <c r="C13" s="24">
        <v>492.03999999999922</v>
      </c>
      <c r="D13" s="24">
        <v>1026.519999999997</v>
      </c>
      <c r="E13" s="24">
        <v>4775.01</v>
      </c>
      <c r="F13" s="24">
        <v>4378.6600000000035</v>
      </c>
    </row>
    <row r="14" spans="2:6">
      <c r="B14" s="28" t="s">
        <v>111</v>
      </c>
      <c r="C14" s="29">
        <v>1.5406070374969525E-2</v>
      </c>
      <c r="D14" s="29">
        <v>3.768089874442266E-2</v>
      </c>
      <c r="E14" s="29">
        <v>0.14991372522425792</v>
      </c>
      <c r="F14" s="29">
        <v>0.1238813668126633</v>
      </c>
    </row>
    <row r="15" spans="2:6">
      <c r="B15" s="3" t="s">
        <v>23</v>
      </c>
      <c r="C15" s="27">
        <v>-0.13900000000000001</v>
      </c>
      <c r="D15" s="27">
        <v>-5.64</v>
      </c>
      <c r="E15" s="27">
        <v>-8</v>
      </c>
      <c r="F15" s="27"/>
    </row>
    <row r="16" spans="2:6">
      <c r="B16" s="1" t="s">
        <v>24</v>
      </c>
      <c r="C16" s="30">
        <v>491.90099999999921</v>
      </c>
      <c r="D16" s="30">
        <v>1020.879999999997</v>
      </c>
      <c r="E16" s="30">
        <v>4767.01</v>
      </c>
      <c r="F16" s="30">
        <v>4378.6600000000035</v>
      </c>
    </row>
    <row r="17" spans="2:6">
      <c r="B17" s="3" t="s">
        <v>112</v>
      </c>
      <c r="C17" s="13">
        <v>5.0999999999999996</v>
      </c>
      <c r="D17" s="13">
        <v>10.64</v>
      </c>
      <c r="E17" s="26">
        <v>50.63</v>
      </c>
      <c r="F17" s="26">
        <v>46.57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Sheet4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Manav Kapasi</dc:creator>
  <cp:lastModifiedBy>DELL</cp:lastModifiedBy>
  <cp:lastPrinted>2025-05-05T05:49:34Z</cp:lastPrinted>
  <dcterms:created xsi:type="dcterms:W3CDTF">2022-03-25T06:39:15Z</dcterms:created>
  <dcterms:modified xsi:type="dcterms:W3CDTF">2025-05-07T09:30:08Z</dcterms:modified>
</cp:coreProperties>
</file>