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F625E0E3-F392-4313-A281-F99D3099DC54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R63" i="1" l="1"/>
  <c r="S63" i="1" s="1"/>
  <c r="I50" i="1"/>
  <c r="I52" i="1" s="1"/>
  <c r="I45" i="1"/>
  <c r="I47" i="1" s="1"/>
  <c r="I41" i="1"/>
  <c r="R69" i="1"/>
  <c r="S56" i="1"/>
  <c r="S43" i="1"/>
  <c r="S49" i="1" s="1"/>
  <c r="S40" i="1"/>
  <c r="S27" i="1"/>
  <c r="S15" i="1"/>
  <c r="S10" i="1"/>
  <c r="S79" i="1" s="1"/>
  <c r="S6" i="1"/>
  <c r="S59" i="1" l="1"/>
  <c r="S50" i="1"/>
  <c r="S12" i="1"/>
  <c r="S58" i="1"/>
  <c r="S13" i="1" s="1"/>
  <c r="I53" i="1"/>
  <c r="I55" i="1" s="1"/>
  <c r="I54" i="1"/>
  <c r="I11" i="1"/>
  <c r="I19" i="1" s="1"/>
  <c r="L76" i="1"/>
  <c r="L75" i="1"/>
  <c r="L69" i="1"/>
  <c r="B54" i="1"/>
  <c r="L63" i="1"/>
  <c r="B52" i="1"/>
  <c r="E34" i="1"/>
  <c r="C33" i="1"/>
  <c r="E6" i="1"/>
  <c r="C5" i="1"/>
  <c r="B45" i="1"/>
  <c r="B47" i="1" s="1"/>
  <c r="B41" i="1"/>
  <c r="B42" i="1" s="1"/>
  <c r="B11" i="1"/>
  <c r="B19" i="1" s="1"/>
  <c r="L80" i="1" s="1"/>
  <c r="S80" i="1" l="1"/>
  <c r="B12" i="1"/>
  <c r="L77" i="1"/>
  <c r="I21" i="1"/>
  <c r="I12" i="1"/>
  <c r="B22" i="1"/>
  <c r="B21" i="1"/>
  <c r="B27" i="1" l="1"/>
  <c r="B23" i="1"/>
  <c r="S66" i="1" l="1"/>
  <c r="I22" i="1" l="1"/>
  <c r="P15" i="1"/>
  <c r="Q75" i="1"/>
  <c r="Q76" i="1"/>
  <c r="Q74" i="1"/>
  <c r="Q69" i="1"/>
  <c r="L49" i="1"/>
  <c r="O15" i="1"/>
  <c r="Q15" i="1"/>
  <c r="R15" i="1"/>
  <c r="R49" i="1"/>
  <c r="H41" i="1"/>
  <c r="H42" i="1" s="1"/>
  <c r="I37" i="1" s="1"/>
  <c r="I42" i="1" s="1"/>
  <c r="F41" i="1"/>
  <c r="F42" i="1" s="1"/>
  <c r="R76" i="1"/>
  <c r="R75" i="1"/>
  <c r="R77" i="1" s="1"/>
  <c r="R74" i="1"/>
  <c r="R66" i="1"/>
  <c r="R27" i="1"/>
  <c r="R10" i="1"/>
  <c r="R79" i="1" l="1"/>
  <c r="I27" i="1"/>
  <c r="I23" i="1"/>
  <c r="Q77" i="1"/>
  <c r="H50" i="1"/>
  <c r="H52" i="1" s="1"/>
  <c r="G39" i="1"/>
  <c r="G41" i="1" s="1"/>
  <c r="G42" i="1" s="1"/>
  <c r="H34" i="1"/>
  <c r="H33" i="1"/>
  <c r="H11" i="1"/>
  <c r="H6" i="1"/>
  <c r="H5" i="1"/>
  <c r="R56" i="1"/>
  <c r="R40" i="1"/>
  <c r="G33" i="1"/>
  <c r="R50" i="1" l="1"/>
  <c r="H12" i="1"/>
  <c r="H19" i="1"/>
  <c r="R80" i="1" s="1"/>
  <c r="R59" i="1"/>
  <c r="C54" i="1"/>
  <c r="D54" i="1"/>
  <c r="E54" i="1"/>
  <c r="F54" i="1"/>
  <c r="G54" i="1"/>
  <c r="H54" i="1"/>
  <c r="P74" i="1"/>
  <c r="Q63" i="1"/>
  <c r="Q66" i="1" s="1"/>
  <c r="Q56" i="1"/>
  <c r="Q49" i="1"/>
  <c r="Q40" i="1"/>
  <c r="Q27" i="1"/>
  <c r="Q10" i="1"/>
  <c r="R6" i="1"/>
  <c r="H45" i="1"/>
  <c r="H47" i="1" s="1"/>
  <c r="R58" i="1" l="1"/>
  <c r="R73" i="1"/>
  <c r="Q50" i="1"/>
  <c r="R78" i="1" s="1"/>
  <c r="H21" i="1"/>
  <c r="R13" i="1"/>
  <c r="R71" i="1" s="1"/>
  <c r="R12" i="1"/>
  <c r="R64" i="1"/>
  <c r="R67" i="1" s="1"/>
  <c r="R72" i="1"/>
  <c r="H53" i="1"/>
  <c r="Q59" i="1"/>
  <c r="G53" i="1"/>
  <c r="H55" i="1" l="1"/>
  <c r="R68" i="1" s="1"/>
  <c r="G52" i="1"/>
  <c r="G55" i="1" s="1"/>
  <c r="G45" i="1"/>
  <c r="G47" i="1" s="1"/>
  <c r="P76" i="1"/>
  <c r="O76" i="1"/>
  <c r="N76" i="1"/>
  <c r="M76" i="1"/>
  <c r="P75" i="1"/>
  <c r="O75" i="1"/>
  <c r="N75" i="1"/>
  <c r="M75" i="1"/>
  <c r="P77" i="1" l="1"/>
  <c r="O77" i="1"/>
  <c r="M77" i="1"/>
  <c r="N77" i="1"/>
  <c r="H22" i="1" l="1"/>
  <c r="R70" i="1" s="1"/>
  <c r="L40" i="1"/>
  <c r="L50" i="1" s="1"/>
  <c r="L78" i="1" s="1"/>
  <c r="M69" i="1"/>
  <c r="N69" i="1"/>
  <c r="O69" i="1"/>
  <c r="P69" i="1"/>
  <c r="M63" i="1"/>
  <c r="M66" i="1" s="1"/>
  <c r="N63" i="1"/>
  <c r="N66" i="1" s="1"/>
  <c r="O63" i="1"/>
  <c r="O66" i="1" s="1"/>
  <c r="P63" i="1"/>
  <c r="P66" i="1" s="1"/>
  <c r="L66" i="1"/>
  <c r="P56" i="1"/>
  <c r="P40" i="1"/>
  <c r="P49" i="1"/>
  <c r="P27" i="1"/>
  <c r="O40" i="1"/>
  <c r="O27" i="1"/>
  <c r="M40" i="1"/>
  <c r="N40" i="1"/>
  <c r="L27" i="1"/>
  <c r="M6" i="1"/>
  <c r="M64" i="1" s="1"/>
  <c r="M67" i="1" s="1"/>
  <c r="N6" i="1"/>
  <c r="N64" i="1" s="1"/>
  <c r="N67" i="1" s="1"/>
  <c r="O6" i="1"/>
  <c r="O64" i="1" s="1"/>
  <c r="O67" i="1" s="1"/>
  <c r="P6" i="1"/>
  <c r="P64" i="1" s="1"/>
  <c r="P67" i="1" s="1"/>
  <c r="Q6" i="1"/>
  <c r="F6" i="1"/>
  <c r="G6" i="1"/>
  <c r="E46" i="1"/>
  <c r="F11" i="1"/>
  <c r="F12" i="1" s="1"/>
  <c r="F33" i="1"/>
  <c r="F34" i="1"/>
  <c r="L15" i="1"/>
  <c r="G34" i="1"/>
  <c r="G11" i="1"/>
  <c r="G5" i="1"/>
  <c r="Q64" i="1" l="1"/>
  <c r="Q67" i="1" s="1"/>
  <c r="Q73" i="1"/>
  <c r="P50" i="1"/>
  <c r="H13" i="1"/>
  <c r="Q68" i="1"/>
  <c r="H23" i="1"/>
  <c r="Q72" i="1"/>
  <c r="O59" i="1"/>
  <c r="H27" i="1"/>
  <c r="Q12" i="1"/>
  <c r="Q58" i="1"/>
  <c r="Q13" i="1" s="1"/>
  <c r="F19" i="1"/>
  <c r="F21" i="1" s="1"/>
  <c r="G19" i="1"/>
  <c r="G12" i="1"/>
  <c r="Q80" i="1" l="1"/>
  <c r="Q71" i="1"/>
  <c r="F22" i="1"/>
  <c r="P80" i="1"/>
  <c r="G22" i="1"/>
  <c r="G21" i="1"/>
  <c r="P70" i="1" l="1"/>
  <c r="Q70" i="1"/>
  <c r="H24" i="1"/>
  <c r="F27" i="1"/>
  <c r="F23" i="1"/>
  <c r="G24" i="1"/>
  <c r="M15" i="1"/>
  <c r="N15" i="1"/>
  <c r="G23" i="1" l="1"/>
  <c r="G27" i="1"/>
  <c r="H28" i="1" s="1"/>
  <c r="F5" i="1" l="1"/>
  <c r="F52" i="1" l="1"/>
  <c r="F45" i="1"/>
  <c r="F47" i="1" s="1"/>
  <c r="G13" i="1" l="1"/>
  <c r="G28" i="1" l="1"/>
  <c r="P12" i="1" l="1"/>
  <c r="P59" i="1"/>
  <c r="P10" i="1"/>
  <c r="P79" i="1" s="1"/>
  <c r="P72" i="1" l="1"/>
  <c r="F53" i="1"/>
  <c r="F55" i="1" s="1"/>
  <c r="P68" i="1" s="1"/>
  <c r="P58" i="1"/>
  <c r="P13" i="1" s="1"/>
  <c r="P71" i="1" s="1"/>
  <c r="P73" i="1"/>
  <c r="Q78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E33" i="1" l="1"/>
  <c r="E5" i="1"/>
  <c r="O74" i="1" l="1"/>
  <c r="N74" i="1" l="1"/>
  <c r="C52" i="1"/>
  <c r="D52" i="1"/>
  <c r="D45" i="1"/>
  <c r="C45" i="1"/>
  <c r="E45" i="1"/>
  <c r="E52" i="1" l="1"/>
  <c r="L74" i="1"/>
  <c r="M74" i="1"/>
  <c r="E41" i="1"/>
  <c r="C41" i="1"/>
  <c r="D41" i="1" l="1"/>
  <c r="E47" i="1" l="1"/>
  <c r="D47" i="1"/>
  <c r="C47" i="1"/>
  <c r="D42" i="1"/>
  <c r="C42" i="1"/>
  <c r="E42" i="1"/>
  <c r="D33" i="1"/>
  <c r="D5" i="1"/>
  <c r="D11" i="1"/>
  <c r="G14" i="1" s="1"/>
  <c r="C11" i="1"/>
  <c r="C13" i="1" s="1"/>
  <c r="F14" i="1" l="1"/>
  <c r="C12" i="1"/>
  <c r="D12" i="1"/>
  <c r="D13" i="1"/>
  <c r="D19" i="1"/>
  <c r="C19" i="1"/>
  <c r="C22" i="1" l="1"/>
  <c r="M80" i="1"/>
  <c r="D22" i="1"/>
  <c r="N80" i="1"/>
  <c r="C24" i="1" l="1"/>
  <c r="F25" i="1"/>
  <c r="D24" i="1"/>
  <c r="G25" i="1"/>
  <c r="N70" i="1"/>
  <c r="M70" i="1"/>
  <c r="E11" i="1"/>
  <c r="H14" i="1" l="1"/>
  <c r="E14" i="1"/>
  <c r="F13" i="1"/>
  <c r="E19" i="1"/>
  <c r="E21" i="1" s="1"/>
  <c r="E13" i="1"/>
  <c r="E12" i="1"/>
  <c r="L10" i="1"/>
  <c r="L79" i="1" l="1"/>
  <c r="B53" i="1"/>
  <c r="B55" i="1" s="1"/>
  <c r="L68" i="1" s="1"/>
  <c r="E22" i="1"/>
  <c r="O80" i="1"/>
  <c r="H25" i="1" l="1"/>
  <c r="E25" i="1"/>
  <c r="E24" i="1"/>
  <c r="F24" i="1"/>
  <c r="O70" i="1"/>
  <c r="E27" i="1"/>
  <c r="E23" i="1"/>
  <c r="L56" i="1"/>
  <c r="L59" i="1"/>
  <c r="L6" i="1"/>
  <c r="H29" i="1" l="1"/>
  <c r="E29" i="1"/>
  <c r="L64" i="1"/>
  <c r="L67" i="1" s="1"/>
  <c r="L70" i="1"/>
  <c r="L73" i="1"/>
  <c r="L72" i="1"/>
  <c r="L58" i="1"/>
  <c r="L13" i="1" s="1"/>
  <c r="L71" i="1" s="1"/>
  <c r="L12" i="1"/>
  <c r="F28" i="1"/>
  <c r="C21" i="1"/>
  <c r="D21" i="1"/>
  <c r="O56" i="1"/>
  <c r="O49" i="1"/>
  <c r="O50" i="1" s="1"/>
  <c r="P78" i="1" s="1"/>
  <c r="O10" i="1"/>
  <c r="O58" i="1" l="1"/>
  <c r="O79" i="1"/>
  <c r="O72" i="1"/>
  <c r="O73" i="1"/>
  <c r="O12" i="1"/>
  <c r="O13" i="1"/>
  <c r="O71" i="1" s="1"/>
  <c r="D27" i="1"/>
  <c r="E53" i="1"/>
  <c r="D23" i="1"/>
  <c r="M27" i="1"/>
  <c r="M59" i="1" s="1"/>
  <c r="N27" i="1"/>
  <c r="N59" i="1" s="1"/>
  <c r="E55" i="1" l="1"/>
  <c r="O68" i="1" s="1"/>
  <c r="E28" i="1"/>
  <c r="G29" i="1"/>
  <c r="C23" i="1"/>
  <c r="C27" i="1"/>
  <c r="N10" i="1"/>
  <c r="M10" i="1"/>
  <c r="F29" i="1" l="1"/>
  <c r="C28" i="1"/>
  <c r="M79" i="1"/>
  <c r="M72" i="1"/>
  <c r="M73" i="1"/>
  <c r="N79" i="1"/>
  <c r="N72" i="1"/>
  <c r="N73" i="1"/>
  <c r="D28" i="1"/>
  <c r="C53" i="1"/>
  <c r="D53" i="1"/>
  <c r="M49" i="1"/>
  <c r="M50" i="1" s="1"/>
  <c r="N49" i="1"/>
  <c r="N50" i="1" s="1"/>
  <c r="M56" i="1"/>
  <c r="M12" i="1" s="1"/>
  <c r="N56" i="1"/>
  <c r="N12" i="1" s="1"/>
  <c r="C55" i="1" l="1"/>
  <c r="M68" i="1" s="1"/>
  <c r="D55" i="1"/>
  <c r="N68" i="1" s="1"/>
  <c r="N58" i="1"/>
  <c r="M58" i="1"/>
  <c r="O78" i="1"/>
  <c r="N78" i="1" l="1"/>
  <c r="M78" i="1"/>
  <c r="N13" i="1"/>
  <c r="N71" i="1" s="1"/>
  <c r="M13" i="1"/>
  <c r="M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<sst xmlns="http://schemas.openxmlformats.org/spreadsheetml/2006/main" count="245" uniqueCount="156">
  <si>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</si>
  <si>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</si>
  <si>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</si>
  <si>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</si>
  <si>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</si>
  <si>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</si>
  <si>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</si>
  <si>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</si>
  <si>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</si>
  <si>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</si>
  <si>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</si>
  <si>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</si>
  <si>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</si>
  <si>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Other non-current assets</t>
  </si>
  <si>
    <t>CURRENT ASSETS, LOANS &amp; ADVANCES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</si>
  <si>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</si>
  <si>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</si>
  <si>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</si>
  <si>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</si>
  <si>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</si>
  <si>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</si>
  <si>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</si>
  <si>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</si>
  <si>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</si>
  <si>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TOTAL ASSETS</t>
  </si>
  <si>
    <t>Total Loans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</si>
  <si>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</si>
  <si>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</si>
  <si>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</si>
  <si>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</si>
  <si>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</si>
  <si>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</si>
  <si>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</si>
  <si>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</si>
  <si>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</si>
  <si>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</si>
  <si>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</si>
  <si>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</si>
  <si>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</si>
  <si>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</si>
  <si>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</si>
  <si>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</si>
  <si>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</si>
  <si>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</si>
  <si>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</si>
  <si>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</si>
  <si>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</si>
  <si>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</si>
  <si>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</si>
  <si>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</si>
  <si>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</si>
  <si>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</si>
  <si>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</si>
  <si>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</si>
  <si>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</si>
  <si>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</si>
  <si>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</si>
  <si>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</si>
  <si>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</si>
  <si>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</si>
  <si>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</si>
  <si>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</si>
  <si>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</si>
  <si>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</si>
  <si>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</si>
  <si>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</si>
  <si>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</si>
  <si>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</si>
  <si>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</si>
  <si>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</si>
  <si>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</si>
  <si>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</si>
  <si>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</si>
  <si>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</si>
  <si>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</si>
  <si>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</si>
  <si>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</si>
  <si>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</si>
  <si>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</si>
  <si>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</si>
  <si>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</si>
  <si>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</si>
  <si>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</si>
  <si>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</si>
  <si>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</si>
  <si>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</si>
  <si>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</si>
  <si>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</si>
  <si>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</si>
  <si>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</si>
  <si>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</si>
  <si>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</si>
  <si>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</si>
  <si>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</si>
  <si>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</si>
  <si>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</si>
  <si>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</si>
  <si>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</si>
  <si>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</si>
  <si>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</si>
  <si>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</si>
  <si>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</si>
  <si>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</si>
  <si>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</si>
  <si>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</si>
  <si>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</si>
  <si>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</si>
  <si>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</si>
  <si>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</si>
  <si>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</si>
  <si>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</si>
  <si>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</si>
  <si>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</si>
  <si>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</si>
  <si>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</si>
  <si>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</si>
  <si>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</si>
  <si>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</si>
  <si>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</si>
  <si>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</si>
  <si>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</si>
  <si>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</si>
  <si>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</si>
  <si>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</si>
  <si>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</si>
  <si>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</si>
  <si>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</si>
  <si>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</si>
  <si>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</si>
  <si>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</si>
  <si>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</si>
  <si>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</si>
  <si>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</si>
  <si>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</si>
  <si>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Saksoft Ltd.</t>
  </si>
  <si>
    <t>FY23</t>
  </si>
  <si>
    <t>Expenses</t>
  </si>
  <si>
    <t>Support/ Third party charges</t>
  </si>
  <si>
    <t>Depreciation and amortization expense</t>
  </si>
  <si>
    <t>Deferred Tax Assets (net)</t>
  </si>
  <si>
    <t>Goodwill on consolidation</t>
  </si>
  <si>
    <t>Current Tax Assets (Net)</t>
  </si>
  <si>
    <t>NON-CURRENT LIABILITIES</t>
  </si>
  <si>
    <t>Non Controlling Interest</t>
  </si>
  <si>
    <t>Right of Use Asset</t>
  </si>
  <si>
    <t>Lease Liabilities</t>
  </si>
  <si>
    <t>Other Non-current Liabilities</t>
  </si>
  <si>
    <t>-</t>
  </si>
  <si>
    <t>FY24</t>
  </si>
  <si>
    <t>Balance Sheet</t>
  </si>
  <si>
    <t xml:space="preserve">H1-FY25 </t>
  </si>
  <si>
    <t>H1-FY25</t>
  </si>
  <si>
    <t>TOTAL EQUITY AND LIABILITIES</t>
  </si>
  <si>
    <t>NA</t>
  </si>
  <si>
    <t xml:space="preserve">9M-FY25 </t>
  </si>
  <si>
    <t>9M-FY25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</si>
</sst>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1" xfId="1" applyFont="1" applyBorder="1"/>
    <xf numFmtId="43" fontId="0" fillId="0" borderId="2" xfId="1" applyFont="1" applyBorder="1"/>
    <xf numFmtId="43" fontId="2" fillId="0" borderId="0" xfId="1" applyFont="1" applyBorder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43" fontId="1" fillId="0" borderId="0" xfId="1" applyFont="1" applyBorder="1"/>
    <xf numFmtId="43" fontId="2" fillId="4" borderId="2" xfId="1" applyFont="1" applyFill="1" applyBorder="1"/>
    <xf numFmtId="165" fontId="6" fillId="6" borderId="0" xfId="2" applyNumberFormat="1" applyFont="1" applyFill="1" applyBorder="1"/>
    <xf numFmtId="43" fontId="2" fillId="6" borderId="0" xfId="1" applyFont="1" applyFill="1" applyBorder="1"/>
    <xf numFmtId="43" fontId="2" fillId="4" borderId="1" xfId="1" applyFont="1" applyFill="1" applyBorder="1"/>
    <xf numFmtId="0" fontId="9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0" fillId="8" borderId="3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1" fillId="9" borderId="3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164" fontId="0" fillId="0" borderId="0" xfId="0" applyNumberFormat="1"/>
    <xf numFmtId="43" fontId="2" fillId="4" borderId="0" xfId="1" applyFont="1" applyFill="1" applyBorder="1"/>
    <xf numFmtId="0" fontId="0" fillId="0" borderId="0" xfId="0" applyAlignment="1">
      <alignment horizontal="center"/>
    </xf>
    <xf numFmtId="0" fontId="0" fillId="5" borderId="4" xfId="0" applyFill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/>
    <xf numFmtId="43" fontId="0" fillId="0" borderId="9" xfId="1" applyFont="1" applyBorder="1"/>
    <xf numFmtId="0" fontId="0" fillId="6" borderId="8" xfId="0" applyFill="1" applyBorder="1"/>
    <xf numFmtId="43" fontId="0" fillId="6" borderId="0" xfId="1" applyFont="1" applyFill="1" applyBorder="1"/>
    <xf numFmtId="43" fontId="0" fillId="6" borderId="9" xfId="1" applyFont="1" applyFill="1" applyBorder="1"/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10" xfId="0" applyFill="1" applyBorder="1"/>
    <xf numFmtId="43" fontId="0" fillId="6" borderId="11" xfId="1" applyFont="1" applyFill="1" applyBorder="1"/>
    <xf numFmtId="0" fontId="2" fillId="4" borderId="8" xfId="0" applyFont="1" applyFill="1" applyBorder="1"/>
    <xf numFmtId="0" fontId="2" fillId="0" borderId="8" xfId="0" applyFont="1" applyBorder="1"/>
    <xf numFmtId="43" fontId="2" fillId="4" borderId="9" xfId="1" applyFont="1" applyFill="1" applyBorder="1"/>
    <xf numFmtId="0" fontId="4" fillId="0" borderId="8" xfId="0" applyFont="1" applyBorder="1"/>
    <xf numFmtId="0" fontId="3" fillId="0" borderId="8" xfId="0" applyFont="1" applyBorder="1"/>
    <xf numFmtId="0" fontId="0" fillId="0" borderId="8" xfId="0" applyBorder="1" applyAlignment="1">
      <alignment horizontal="left" indent="1"/>
    </xf>
    <xf numFmtId="0" fontId="0" fillId="0" borderId="9" xfId="0" applyBorder="1"/>
    <xf numFmtId="0" fontId="2" fillId="4" borderId="8" xfId="0" applyFont="1" applyFill="1" applyBorder="1" applyAlignment="1">
      <alignment horizontal="left"/>
    </xf>
    <xf numFmtId="43" fontId="2" fillId="4" borderId="13" xfId="1" applyFont="1" applyFill="1" applyBorder="1"/>
    <xf numFmtId="43" fontId="2" fillId="0" borderId="13" xfId="1" applyFont="1" applyBorder="1"/>
    <xf numFmtId="0" fontId="2" fillId="4" borderId="10" xfId="0" applyFont="1" applyFill="1" applyBorder="1"/>
    <xf numFmtId="43" fontId="2" fillId="4" borderId="11" xfId="1" applyFont="1" applyFill="1" applyBorder="1"/>
    <xf numFmtId="43" fontId="2" fillId="4" borderId="12" xfId="1" applyFont="1" applyFill="1" applyBorder="1"/>
    <xf numFmtId="0" fontId="0" fillId="3" borderId="4" xfId="0" applyFill="1" applyBorder="1"/>
    <xf numFmtId="0" fontId="6" fillId="6" borderId="8" xfId="0" applyFont="1" applyFill="1" applyBorder="1"/>
    <xf numFmtId="10" fontId="6" fillId="6" borderId="0" xfId="2" applyNumberFormat="1" applyFont="1" applyFill="1" applyBorder="1"/>
    <xf numFmtId="10" fontId="6" fillId="6" borderId="9" xfId="2" applyNumberFormat="1" applyFont="1" applyFill="1" applyBorder="1"/>
    <xf numFmtId="0" fontId="0" fillId="0" borderId="8" xfId="0" applyBorder="1" applyAlignment="1">
      <alignment horizontal="left"/>
    </xf>
    <xf numFmtId="0" fontId="2" fillId="6" borderId="8" xfId="0" applyFont="1" applyFill="1" applyBorder="1"/>
    <xf numFmtId="43" fontId="0" fillId="0" borderId="0" xfId="1" applyFont="1" applyBorder="1" applyAlignment="1">
      <alignment horizontal="right"/>
    </xf>
    <xf numFmtId="0" fontId="0" fillId="5" borderId="8" xfId="0" applyFill="1" applyBorder="1"/>
    <xf numFmtId="0" fontId="8" fillId="6" borderId="8" xfId="0" applyFont="1" applyFill="1" applyBorder="1"/>
    <xf numFmtId="43" fontId="8" fillId="6" borderId="0" xfId="1" applyFont="1" applyFill="1" applyBorder="1"/>
    <xf numFmtId="0" fontId="2" fillId="4" borderId="14" xfId="0" applyFont="1" applyFill="1" applyBorder="1"/>
    <xf numFmtId="43" fontId="0" fillId="0" borderId="2" xfId="1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43" fontId="0" fillId="0" borderId="15" xfId="1" applyFont="1" applyBorder="1"/>
    <xf numFmtId="0" fontId="2" fillId="8" borderId="0" xfId="0" applyFont="1" applyFill="1"/>
    <xf numFmtId="43" fontId="2" fillId="8" borderId="0" xfId="1" applyFont="1" applyFill="1" applyBorder="1"/>
    <xf numFmtId="165" fontId="6" fillId="6" borderId="9" xfId="2" applyNumberFormat="1" applyFont="1" applyFill="1" applyBorder="1"/>
    <xf numFmtId="43" fontId="2" fillId="6" borderId="9" xfId="1" applyFont="1" applyFill="1" applyBorder="1"/>
    <xf numFmtId="43" fontId="8" fillId="6" borderId="9" xfId="1" applyFont="1" applyFill="1" applyBorder="1"/>
    <xf numFmtId="0" fontId="7" fillId="2" borderId="0" xfId="0" applyFont="1" applyFill="1" applyAlignment="1">
      <alignment horizontal="center" vertical="center"/>
    </xf>
    <xf numFmtId="165" fontId="0" fillId="6" borderId="0" xfId="2" applyNumberFormat="1" applyFont="1" applyFill="1" applyBorder="1" applyAlignment="1">
      <alignment horizontal="center"/>
    </xf>
    <xf numFmtId="166" fontId="0" fillId="6" borderId="0" xfId="1" applyNumberFormat="1" applyFont="1" applyFill="1" applyBorder="1"/>
    <xf numFmtId="0" fontId="9" fillId="0" borderId="0" xfId="0" applyFont="1" applyAlignment="1">
      <alignment horizontal="left"/>
    </xf>
    <xf numFmtId="43" fontId="0" fillId="0" borderId="9" xfId="1" applyFont="1" applyBorder="1" applyAlignment="1">
      <alignment horizontal="center"/>
    </xf>
    <xf numFmtId="43" fontId="0" fillId="0" borderId="9" xfId="1" applyFont="1" applyFill="1" applyBorder="1" applyAlignment="1">
      <alignment horizontal="right"/>
    </xf>
    <xf numFmtId="0" fontId="6" fillId="6" borderId="10" xfId="0" applyFont="1" applyFill="1" applyBorder="1"/>
    <xf numFmtId="165" fontId="6" fillId="6" borderId="11" xfId="2" applyNumberFormat="1" applyFont="1" applyFill="1" applyBorder="1"/>
    <xf numFmtId="165" fontId="6" fillId="6" borderId="12" xfId="2" applyNumberFormat="1" applyFont="1" applyFill="1" applyBorder="1"/>
    <xf numFmtId="165" fontId="6" fillId="6" borderId="0" xfId="2" applyNumberFormat="1" applyFont="1" applyFill="1" applyBorder="1" applyAlignment="1">
      <alignment horizontal="center"/>
    </xf>
    <xf numFmtId="43" fontId="6" fillId="6" borderId="0" xfId="1" applyFont="1" applyFill="1" applyBorder="1"/>
    <xf numFmtId="43" fontId="13" fillId="6" borderId="0" xfId="1" applyFont="1" applyFill="1" applyBorder="1"/>
    <xf numFmtId="0" fontId="0" fillId="3" borderId="0" xfId="0" applyFill="1" applyAlignment="1">
      <alignment horizontal="center"/>
    </xf>
    <xf numFmtId="43" fontId="6" fillId="6" borderId="11" xfId="1" applyFont="1" applyFill="1" applyBorder="1"/>
    <xf numFmtId="43" fontId="1" fillId="0" borderId="9" xfId="1" applyFont="1" applyBorder="1"/>
    <xf numFmtId="0" fontId="0" fillId="3" borderId="6" xfId="0" applyFill="1" applyBorder="1" applyAlignment="1">
      <alignment horizontal="center"/>
    </xf>
    <xf numFmtId="0" fontId="6" fillId="0" borderId="0" xfId="2" applyNumberFormat="1" applyFont="1" applyFill="1" applyBorder="1"/>
    <xf numFmtId="2" fontId="16" fillId="0" borderId="0" xfId="2" applyNumberFormat="1" applyFont="1" applyFill="1" applyBorder="1"/>
    <xf numFmtId="43" fontId="0" fillId="6" borderId="9" xfId="1" applyFont="1" applyFill="1" applyBorder="1" applyAlignment="1">
      <alignment horizontal="right"/>
    </xf>
    <xf numFmtId="2" fontId="16" fillId="0" borderId="9" xfId="2" applyNumberFormat="1" applyFont="1" applyFill="1" applyBorder="1"/>
    <xf numFmtId="43" fontId="0" fillId="0" borderId="9" xfId="1" applyFont="1" applyBorder="1" applyAlignment="1">
      <alignment horizontal="right"/>
    </xf>
    <xf numFmtId="43" fontId="2" fillId="0" borderId="9" xfId="1" applyFont="1" applyBorder="1"/>
    <xf numFmtId="165" fontId="0" fillId="6" borderId="9" xfId="2" applyNumberFormat="1" applyFont="1" applyFill="1" applyBorder="1" applyAlignment="1">
      <alignment horizontal="right"/>
    </xf>
    <xf numFmtId="10" fontId="0" fillId="6" borderId="9" xfId="2" applyNumberFormat="1" applyFont="1" applyFill="1" applyBorder="1" applyAlignment="1">
      <alignment horizontal="right"/>
    </xf>
    <xf numFmtId="166" fontId="0" fillId="6" borderId="9" xfId="1" applyNumberFormat="1" applyFont="1" applyFill="1" applyBorder="1" applyAlignment="1">
      <alignment horizontal="right"/>
    </xf>
    <xf numFmtId="43" fontId="0" fillId="6" borderId="12" xfId="1" applyFont="1" applyFill="1" applyBorder="1" applyAlignment="1">
      <alignment horizontal="right"/>
    </xf>
    <xf numFmtId="0" fontId="7" fillId="11" borderId="4" xfId="0" applyFont="1" applyFill="1" applyBorder="1" applyAlignment="1">
      <alignment horizontal="center" vertical="top"/>
    </xf>
    <xf numFmtId="0" fontId="7" fillId="11" borderId="5" xfId="0" applyFont="1" applyFill="1" applyBorder="1" applyAlignment="1">
      <alignment horizontal="center" vertical="top"/>
    </xf>
    <xf numFmtId="0" fontId="7" fillId="11" borderId="6" xfId="0" applyFont="1" applyFill="1" applyBorder="1" applyAlignment="1">
      <alignment horizontal="center" vertical="top"/>
    </xf>
    <xf numFmtId="0" fontId="11" fillId="9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 x14ac:dyDescent="0.3"/>
  <cols>
    <col min="1" max="1" width="25.44140625" style="15" customWidth="1"/>
    <col min="2" max="3" width="14.6640625" style="15" customWidth="1"/>
    <col min="4" max="5" width="14.6640625" style="16" customWidth="1"/>
    <col min="6" max="7" width="14.6640625" style="15" customWidth="1"/>
    <col min="8" max="16384" width="9.109375" style="15"/>
  </cols>
  <sheetData>
    <row r="1" spans="1:7" s="7" customFormat="1" ht="18" x14ac:dyDescent="0.3">
      <c r="A1" s="138" t="s">
        <v>130</v>
      </c>
      <c r="B1" s="139"/>
      <c r="C1" s="139"/>
      <c r="D1" s="139"/>
      <c r="E1" s="139"/>
      <c r="F1" s="140"/>
      <c r="G1" s="52"/>
    </row>
    <row r="2" spans="1:7" s="50" customFormat="1" x14ac:dyDescent="0.3">
      <c r="A2" s="141" t="s">
        <v>129</v>
      </c>
      <c r="B2" s="53" t="s">
        <v>92</v>
      </c>
      <c r="C2" s="53" t="s">
        <v>93</v>
      </c>
      <c r="D2" s="53" t="s">
        <v>94</v>
      </c>
      <c r="E2" s="53" t="s">
        <v>95</v>
      </c>
      <c r="F2" s="53" t="s">
        <v>96</v>
      </c>
      <c r="G2" s="53" t="s">
        <v>97</v>
      </c>
    </row>
    <row r="3" spans="1:7" s="50" customFormat="1" ht="15.6" x14ac:dyDescent="0.3">
      <c r="A3" s="141"/>
      <c r="B3" s="51" t="s">
        <v>131</v>
      </c>
      <c r="C3" s="51" t="s">
        <v>131</v>
      </c>
      <c r="D3" s="51" t="s">
        <v>131</v>
      </c>
      <c r="E3" s="51" t="s">
        <v>131</v>
      </c>
      <c r="F3" s="51" t="s">
        <v>131</v>
      </c>
      <c r="G3" s="51" t="s">
        <v>131</v>
      </c>
    </row>
    <row r="4" spans="1:7" ht="15.6" x14ac:dyDescent="0.3">
      <c r="A4" s="23" t="s">
        <v>128</v>
      </c>
      <c r="B4" s="49"/>
      <c r="C4" s="48"/>
      <c r="D4" s="47"/>
      <c r="E4" s="47"/>
      <c r="F4" s="47"/>
      <c r="G4" s="47"/>
    </row>
    <row r="5" spans="1:7" x14ac:dyDescent="0.3">
      <c r="A5" s="23" t="s">
        <v>91</v>
      </c>
      <c r="B5" s="8"/>
      <c r="C5" s="18"/>
      <c r="D5" s="25"/>
      <c r="E5" s="25"/>
      <c r="F5" s="25"/>
      <c r="G5" s="25"/>
    </row>
    <row r="6" spans="1:7" x14ac:dyDescent="0.3">
      <c r="A6" s="18" t="s">
        <v>127</v>
      </c>
      <c r="B6" s="46" t="e">
        <f>#REF!*10</f>
        <v>#REF!</v>
      </c>
      <c r="C6" s="45">
        <f>'[1]Peer Analysis working '!C5*10</f>
        <v>49222</v>
      </c>
      <c r="D6" s="45">
        <f>'[1]Peer Analysis working '!D5*10</f>
        <v>67286</v>
      </c>
      <c r="E6" s="45">
        <f>'[1]Peer Analysis working '!E5*10</f>
        <v>56892</v>
      </c>
      <c r="F6" s="45">
        <f>'[1]Peer Analysis working '!F5*10</f>
        <v>442740</v>
      </c>
      <c r="G6" s="45"/>
    </row>
    <row r="7" spans="1:7" x14ac:dyDescent="0.3">
      <c r="A7" s="18" t="s">
        <v>124</v>
      </c>
      <c r="B7" s="41">
        <f>'[1]Peer Analysis working '!B7</f>
        <v>6.6957261377430521E-2</v>
      </c>
      <c r="C7" s="40">
        <f>'[1]Peer Analysis working '!C7</f>
        <v>1.7483450932637146E-2</v>
      </c>
      <c r="D7" s="40">
        <f>'[1]Peer Analysis working '!D7</f>
        <v>0.11395326030791875</v>
      </c>
      <c r="E7" s="40">
        <f>'[1]Peer Analysis working '!E7</f>
        <v>8.1957653928725893E-2</v>
      </c>
      <c r="F7" s="40">
        <f>'[1]Peer Analysis working '!F7</f>
        <v>7.2805272529955722E-2</v>
      </c>
      <c r="G7" s="40"/>
    </row>
    <row r="8" spans="1:7" s="28" customFormat="1" x14ac:dyDescent="0.3">
      <c r="A8" s="23" t="s">
        <v>39</v>
      </c>
      <c r="B8" s="44">
        <f>'[1]Peer Analysis working '!B12*10</f>
        <v>2337.6000000000022</v>
      </c>
      <c r="C8" s="43">
        <f>'[1]Peer Analysis working '!C12*10</f>
        <v>8747</v>
      </c>
      <c r="D8" s="43">
        <f>'[1]Peer Analysis working '!D12*10</f>
        <v>9330</v>
      </c>
      <c r="E8" s="43">
        <f>'[1]Peer Analysis working '!E12*10</f>
        <v>9779</v>
      </c>
      <c r="F8" s="43">
        <f>'[1]Peer Analysis working '!F12*10</f>
        <v>54890</v>
      </c>
      <c r="G8" s="43"/>
    </row>
    <row r="9" spans="1:7" x14ac:dyDescent="0.3">
      <c r="A9" s="18" t="s">
        <v>124</v>
      </c>
      <c r="B9" s="41">
        <f>'[1]Peer Analysis working '!B14</f>
        <v>0.27796799337795663</v>
      </c>
      <c r="C9" s="40">
        <f>'[1]Peer Analysis working '!C14</f>
        <v>0.20517447704828018</v>
      </c>
      <c r="D9" s="40">
        <f>'[1]Peer Analysis working '!D14</f>
        <v>0.33549630488669613</v>
      </c>
      <c r="E9" s="40">
        <f>'[1]Peer Analysis working '!E14</f>
        <v>-2.4487478418460316</v>
      </c>
      <c r="F9" s="40">
        <f>'[1]Peer Analysis working '!F14</f>
        <v>5.7989028682093879E-2</v>
      </c>
      <c r="G9" s="40"/>
    </row>
    <row r="10" spans="1:7" s="28" customFormat="1" x14ac:dyDescent="0.3">
      <c r="A10" s="23" t="s">
        <v>126</v>
      </c>
      <c r="B10" s="39" t="e">
        <f>+B8/B$6</f>
        <v>#REF!</v>
      </c>
      <c r="C10" s="39">
        <f>+C8/C$6</f>
        <v>0.17770509121937345</v>
      </c>
      <c r="D10" s="39">
        <f>+D8/D$6</f>
        <v>0.13866183158457926</v>
      </c>
      <c r="E10" s="39">
        <f>+E8/E$6</f>
        <v>0.17188708430007735</v>
      </c>
      <c r="F10" s="39">
        <f>+F8/F$6</f>
        <v>0.12397795545918598</v>
      </c>
      <c r="G10" s="39"/>
    </row>
    <row r="11" spans="1:7" s="28" customFormat="1" x14ac:dyDescent="0.3">
      <c r="A11" s="23" t="s">
        <v>125</v>
      </c>
      <c r="B11" s="37">
        <f>'[1]Peer Analysis working '!B25*10</f>
        <v>623.77000000000226</v>
      </c>
      <c r="C11" s="42">
        <f>'[1]Peer Analysis working '!C25*10</f>
        <v>7883</v>
      </c>
      <c r="D11" s="42">
        <f>'[1]Peer Analysis working '!D25*10</f>
        <v>2960</v>
      </c>
      <c r="E11" s="42">
        <f>'[1]Peer Analysis working '!E25*10</f>
        <v>997</v>
      </c>
      <c r="F11" s="42">
        <f>'[1]Peer Analysis working '!F25*10</f>
        <v>34510</v>
      </c>
      <c r="G11" s="42"/>
    </row>
    <row r="12" spans="1:7" x14ac:dyDescent="0.3">
      <c r="A12" s="18" t="s">
        <v>124</v>
      </c>
      <c r="B12" s="41">
        <f>'[1]Peer Analysis working '!B27</f>
        <v>0.15020466640116381</v>
      </c>
      <c r="C12" s="40">
        <f>'[1]Peer Analysis working '!C27</f>
        <v>-2.3617924740187757E-2</v>
      </c>
      <c r="D12" s="40">
        <f>'[1]Peer Analysis working '!D27</f>
        <v>0.2798301533370493</v>
      </c>
      <c r="E12" s="40">
        <f>'[1]Peer Analysis working '!E27</f>
        <v>-1.7739968460390942E-2</v>
      </c>
      <c r="F12" s="40">
        <f>'[1]Peer Analysis working '!F27</f>
        <v>1.3492351397157654E-2</v>
      </c>
      <c r="G12" s="40"/>
    </row>
    <row r="13" spans="1:7" x14ac:dyDescent="0.3">
      <c r="A13" s="23" t="s">
        <v>123</v>
      </c>
      <c r="B13" s="39" t="e">
        <f>+B11/B$6</f>
        <v>#REF!</v>
      </c>
      <c r="C13" s="38">
        <f>+C11/C$6</f>
        <v>0.1601519645686888</v>
      </c>
      <c r="D13" s="38">
        <f>+D11/D$6</f>
        <v>4.3991320631334901E-2</v>
      </c>
      <c r="E13" s="38">
        <f>+E11/E$6</f>
        <v>1.7524432257610911E-2</v>
      </c>
      <c r="F13" s="38">
        <f>+F11/F$6</f>
        <v>7.7946424538103631E-2</v>
      </c>
      <c r="G13" s="38"/>
    </row>
    <row r="14" spans="1:7" x14ac:dyDescent="0.3">
      <c r="A14" s="18" t="s">
        <v>47</v>
      </c>
      <c r="B14" s="19">
        <f>'[1]Peer Analysis working '!B29</f>
        <v>3.76</v>
      </c>
      <c r="C14" s="19">
        <f>'[1]Peer Analysis working '!C29</f>
        <v>52.21</v>
      </c>
      <c r="D14" s="19">
        <f>'[1]Peer Analysis working '!D29</f>
        <v>7.83</v>
      </c>
      <c r="E14" s="19">
        <f>'[1]Peer Analysis working '!E29</f>
        <v>3.26</v>
      </c>
      <c r="F14" s="19">
        <f>'[1]Peer Analysis working '!F29</f>
        <v>31.37</v>
      </c>
      <c r="G14" s="19"/>
    </row>
    <row r="15" spans="1:7" x14ac:dyDescent="0.3">
      <c r="A15" s="18"/>
      <c r="B15" s="8"/>
      <c r="C15" s="18"/>
      <c r="D15" s="25"/>
      <c r="E15" s="25"/>
      <c r="F15" s="18"/>
      <c r="G15" s="18"/>
    </row>
    <row r="16" spans="1:7" x14ac:dyDescent="0.3">
      <c r="A16" s="18"/>
      <c r="B16" s="8"/>
      <c r="C16" s="18"/>
      <c r="D16" s="25"/>
      <c r="E16" s="25"/>
      <c r="F16" s="18"/>
      <c r="G16" s="18"/>
    </row>
    <row r="17" spans="1:7" x14ac:dyDescent="0.3">
      <c r="A17" s="23" t="s">
        <v>122</v>
      </c>
      <c r="B17" s="24"/>
      <c r="C17" s="23"/>
      <c r="D17" s="23"/>
      <c r="E17" s="23"/>
      <c r="F17" s="23"/>
      <c r="G17" s="23"/>
    </row>
    <row r="18" spans="1:7" s="28" customFormat="1" x14ac:dyDescent="0.3">
      <c r="A18" s="23" t="s">
        <v>121</v>
      </c>
      <c r="B18" s="37">
        <f>'[1]Peer Analysis working '!I5*10</f>
        <v>6806.94</v>
      </c>
      <c r="C18" s="37">
        <f>'[1]Peer Analysis working '!J5*10</f>
        <v>47546</v>
      </c>
      <c r="D18" s="37">
        <f>'[1]Peer Analysis working '!K5*10</f>
        <v>31513</v>
      </c>
      <c r="E18" s="37">
        <f>'[1]Peer Analysis working '!L5*10</f>
        <v>60583</v>
      </c>
      <c r="F18" s="37">
        <f>'[1]Peer Analysis working '!M5*10</f>
        <v>256090</v>
      </c>
      <c r="G18" s="37"/>
    </row>
    <row r="19" spans="1:7" s="28" customFormat="1" x14ac:dyDescent="0.3">
      <c r="A19" s="23" t="s">
        <v>65</v>
      </c>
      <c r="B19" s="37">
        <f>SUM(B20:B21)</f>
        <v>1806.12</v>
      </c>
      <c r="C19" s="37">
        <f>SUM(C20:C21)</f>
        <v>0</v>
      </c>
      <c r="D19" s="37">
        <f>SUM(D20:D21)</f>
        <v>12219</v>
      </c>
      <c r="E19" s="37">
        <f>SUM(E20:E21)</f>
        <v>9292</v>
      </c>
      <c r="F19" s="37">
        <f>SUM(F20:F21)</f>
        <v>37380</v>
      </c>
      <c r="G19" s="37"/>
    </row>
    <row r="20" spans="1:7" x14ac:dyDescent="0.3">
      <c r="A20" s="36" t="s">
        <v>120</v>
      </c>
      <c r="B20" s="19">
        <f>'[1]Peer Analysis working '!I6*10</f>
        <v>0</v>
      </c>
      <c r="C20" s="19">
        <f>'[1]Peer Analysis working '!J6*10</f>
        <v>0</v>
      </c>
      <c r="D20" s="19">
        <f>'[1]Peer Analysis working '!K6*10</f>
        <v>3893</v>
      </c>
      <c r="E20" s="19">
        <f>'[1]Peer Analysis working '!L6*10</f>
        <v>667</v>
      </c>
      <c r="F20" s="19">
        <f>'[1]Peer Analysis working '!M6*10</f>
        <v>8590</v>
      </c>
      <c r="G20" s="19"/>
    </row>
    <row r="21" spans="1:7" x14ac:dyDescent="0.3">
      <c r="A21" s="36" t="s">
        <v>119</v>
      </c>
      <c r="B21" s="19">
        <f>'[1]Peer Analysis working '!I7*10</f>
        <v>1806.12</v>
      </c>
      <c r="C21" s="19">
        <f>'[1]Peer Analysis working '!J7*10</f>
        <v>0</v>
      </c>
      <c r="D21" s="19">
        <f>'[1]Peer Analysis working '!K7*10</f>
        <v>8326</v>
      </c>
      <c r="E21" s="19">
        <f>'[1]Peer Analysis working '!L7*10</f>
        <v>8625</v>
      </c>
      <c r="F21" s="19">
        <f>'[1]Peer Analysis working '!M7*10</f>
        <v>28790</v>
      </c>
      <c r="G21" s="19"/>
    </row>
    <row r="22" spans="1:7" x14ac:dyDescent="0.3">
      <c r="A22" s="18"/>
      <c r="B22" s="8"/>
      <c r="C22" s="18"/>
      <c r="D22" s="25"/>
      <c r="E22" s="25"/>
      <c r="F22" s="18"/>
      <c r="G22" s="18"/>
    </row>
    <row r="23" spans="1:7" x14ac:dyDescent="0.3">
      <c r="A23" s="23" t="s">
        <v>118</v>
      </c>
      <c r="B23" s="24"/>
      <c r="C23" s="23"/>
      <c r="D23" s="23"/>
      <c r="E23" s="23"/>
      <c r="F23" s="23"/>
      <c r="G23" s="23"/>
    </row>
    <row r="24" spans="1:7" x14ac:dyDescent="0.3">
      <c r="A24" s="34" t="s">
        <v>117</v>
      </c>
      <c r="B24" s="35"/>
      <c r="C24" s="18"/>
      <c r="D24" s="18"/>
      <c r="E24" s="18"/>
      <c r="F24" s="18"/>
      <c r="G24" s="18"/>
    </row>
    <row r="25" spans="1:7" x14ac:dyDescent="0.3">
      <c r="A25" s="34" t="s">
        <v>63</v>
      </c>
      <c r="B25" s="33"/>
      <c r="C25" s="18"/>
      <c r="D25" s="18"/>
      <c r="E25" s="18"/>
      <c r="F25" s="18"/>
      <c r="G25" s="18"/>
    </row>
    <row r="26" spans="1:7" s="7" customFormat="1" x14ac:dyDescent="0.3">
      <c r="A26" s="8"/>
      <c r="B26" s="8"/>
      <c r="C26" s="8"/>
      <c r="D26" s="32"/>
      <c r="E26" s="32"/>
      <c r="F26" s="32"/>
      <c r="G26" s="32"/>
    </row>
    <row r="27" spans="1:7" s="7" customFormat="1" x14ac:dyDescent="0.3">
      <c r="A27" s="8" t="s">
        <v>64</v>
      </c>
      <c r="B27" s="31">
        <f>'[1]Peer Analysis working '!I27</f>
        <v>16042570</v>
      </c>
      <c r="C27" s="31">
        <f>'[1]Peer Analysis working '!J27</f>
        <v>15050871</v>
      </c>
      <c r="D27" s="31">
        <f>'[1]Peer Analysis working '!K27</f>
        <v>37759530</v>
      </c>
      <c r="E27" s="31">
        <f>'[1]Peer Analysis working '!L27</f>
        <v>30603181</v>
      </c>
      <c r="F27" s="31">
        <f>'[1]Peer Analysis working '!M27</f>
        <v>109971221</v>
      </c>
      <c r="G27" s="31"/>
    </row>
    <row r="28" spans="1:7" s="28" customFormat="1" x14ac:dyDescent="0.3">
      <c r="A28" s="23" t="s">
        <v>98</v>
      </c>
      <c r="B28" s="30">
        <f>'[1]Peer Analysis working '!I28*10</f>
        <v>705.87307999999996</v>
      </c>
      <c r="C28" s="29">
        <f>'[1]Peer Analysis working '!J28*10</f>
        <v>5698.2597605999999</v>
      </c>
      <c r="D28" s="29">
        <f>'[1]Peer Analysis working '!K28*10</f>
        <v>1049.7149340000001</v>
      </c>
      <c r="E28" s="29">
        <f>'[1]Peer Analysis working '!L28*10</f>
        <v>2209.5496682000003</v>
      </c>
      <c r="F28" s="29">
        <f>'[1]Peer Analysis working '!M28*10</f>
        <v>25254.89090265</v>
      </c>
      <c r="G28" s="29"/>
    </row>
    <row r="29" spans="1:7" s="28" customFormat="1" x14ac:dyDescent="0.3">
      <c r="A29" s="23" t="s">
        <v>68</v>
      </c>
      <c r="B29" s="30">
        <f>'[1]Peer Analysis working '!I31*10</f>
        <v>297.57307999999966</v>
      </c>
      <c r="C29" s="29">
        <f>'[1]Peer Analysis working '!J31*10</f>
        <v>3873.2597605999999</v>
      </c>
      <c r="D29" s="29">
        <f>'[1]Peer Analysis working '!K31*10</f>
        <v>6252.7149340000014</v>
      </c>
      <c r="E29" s="29">
        <f>'[1]Peer Analysis working '!L31*10</f>
        <v>9985.5496681999994</v>
      </c>
      <c r="F29" s="29">
        <f>'[1]Peer Analysis working '!M31*10</f>
        <v>-32545.109097349996</v>
      </c>
      <c r="G29" s="29"/>
    </row>
    <row r="30" spans="1:7" x14ac:dyDescent="0.3">
      <c r="A30" s="18"/>
      <c r="B30" s="8"/>
      <c r="C30" s="18"/>
      <c r="D30" s="25"/>
      <c r="E30" s="18"/>
      <c r="F30" s="18"/>
      <c r="G30" s="18"/>
    </row>
    <row r="31" spans="1:7" x14ac:dyDescent="0.3">
      <c r="A31" s="18" t="s">
        <v>116</v>
      </c>
      <c r="B31" s="20">
        <f>'[1]Peer Analysis working '!I35</f>
        <v>11.702127659574469</v>
      </c>
      <c r="C31" s="20">
        <f>'[1]Peer Analysis working '!J35</f>
        <v>7.2514843899636086</v>
      </c>
      <c r="D31" s="20">
        <f>'[1]Peer Analysis working '!K35</f>
        <v>3.5504469987228608</v>
      </c>
      <c r="E31" s="20">
        <f>'[1]Peer Analysis working '!L35</f>
        <v>22.147239263803684</v>
      </c>
      <c r="F31" s="20">
        <f>'[1]Peer Analysis working '!M35</f>
        <v>7.3206885559451704</v>
      </c>
      <c r="G31" s="20"/>
    </row>
    <row r="32" spans="1:7" x14ac:dyDescent="0.3">
      <c r="A32" s="18" t="s">
        <v>80</v>
      </c>
      <c r="B32" s="27">
        <f>'[1]Peer Analysis working '!I44</f>
        <v>3.4090909090909088E-2</v>
      </c>
      <c r="C32" s="26">
        <f>'[1]Peer Analysis working '!J44</f>
        <v>0.10565240359218171</v>
      </c>
      <c r="D32" s="26">
        <f>'[1]Peer Analysis working '!K44</f>
        <v>0</v>
      </c>
      <c r="E32" s="26">
        <f>'[1]Peer Analysis working '!L44</f>
        <v>0</v>
      </c>
      <c r="F32" s="26">
        <f>'[1]Peer Analysis working '!M44</f>
        <v>6.531678641410843E-2</v>
      </c>
      <c r="G32" s="26"/>
    </row>
    <row r="33" spans="1:7" x14ac:dyDescent="0.3">
      <c r="A33" s="18" t="s">
        <v>115</v>
      </c>
      <c r="B33" s="20">
        <f>'[1]Peer Analysis working '!I36</f>
        <v>0.10369903069514348</v>
      </c>
      <c r="C33" s="20">
        <f>'[1]Peer Analysis working '!J36</f>
        <v>0.11984730073192279</v>
      </c>
      <c r="D33" s="20">
        <f>'[1]Peer Analysis working '!K36</f>
        <v>3.3310536413543618E-2</v>
      </c>
      <c r="E33" s="20">
        <f>'[1]Peer Analysis working '!L36</f>
        <v>3.6471446910849581E-2</v>
      </c>
      <c r="F33" s="20">
        <f>'[1]Peer Analysis working '!M36</f>
        <v>9.8617247462415569E-2</v>
      </c>
      <c r="G33" s="20"/>
    </row>
    <row r="34" spans="1:7" x14ac:dyDescent="0.3">
      <c r="A34" s="18" t="s">
        <v>114</v>
      </c>
      <c r="B34" s="20">
        <f>'[1]Peer Analysis working '!I37</f>
        <v>0.12729854551676908</v>
      </c>
      <c r="C34" s="20">
        <f>'[1]Peer Analysis working '!J37</f>
        <v>0.44281007895278379</v>
      </c>
      <c r="D34" s="20">
        <f>'[1]Peer Analysis working '!K37</f>
        <v>0.67017309046087903</v>
      </c>
      <c r="E34" s="20">
        <f>'[1]Peer Analysis working '!L37</f>
        <v>1.021121757664383</v>
      </c>
      <c r="F34" s="20">
        <f>'[1]Peer Analysis working '!M37</f>
        <v>-0.59291508648843139</v>
      </c>
      <c r="G34" s="20"/>
    </row>
    <row r="35" spans="1:7" x14ac:dyDescent="0.3">
      <c r="A35" s="18"/>
      <c r="B35" s="8"/>
      <c r="C35" s="18"/>
      <c r="D35" s="25"/>
      <c r="E35" s="25"/>
      <c r="F35" s="18"/>
      <c r="G35" s="18"/>
    </row>
    <row r="36" spans="1:7" x14ac:dyDescent="0.3">
      <c r="A36" s="23" t="s">
        <v>113</v>
      </c>
      <c r="B36" s="24"/>
      <c r="C36" s="23"/>
      <c r="D36" s="23"/>
      <c r="E36" s="23"/>
      <c r="F36" s="23"/>
      <c r="G36" s="23"/>
    </row>
    <row r="37" spans="1:7" x14ac:dyDescent="0.3">
      <c r="A37" s="23" t="s">
        <v>132</v>
      </c>
      <c r="B37" s="19" t="e">
        <f>#REF!</f>
        <v>#REF!</v>
      </c>
      <c r="C37" s="19">
        <f>'[1]Peer Analysis working '!J32</f>
        <v>378.6</v>
      </c>
      <c r="D37" s="19">
        <f>'[1]Peer Analysis working '!K32</f>
        <v>27.8</v>
      </c>
      <c r="E37" s="19">
        <f>'[1]Peer Analysis working '!L32</f>
        <v>72.2</v>
      </c>
      <c r="F37" s="19">
        <f>'[1]Peer Analysis working '!M32</f>
        <v>229.65</v>
      </c>
      <c r="G37" s="19"/>
    </row>
    <row r="38" spans="1:7" x14ac:dyDescent="0.3">
      <c r="A38" s="18" t="s">
        <v>112</v>
      </c>
      <c r="B38" s="19">
        <f>B18</f>
        <v>6806.94</v>
      </c>
      <c r="C38" s="19">
        <f>C18</f>
        <v>47546</v>
      </c>
      <c r="D38" s="19">
        <f>D18</f>
        <v>31513</v>
      </c>
      <c r="E38" s="19">
        <f>E18</f>
        <v>60583</v>
      </c>
      <c r="F38" s="19">
        <f>F18</f>
        <v>256090</v>
      </c>
      <c r="G38" s="19"/>
    </row>
    <row r="39" spans="1:7" x14ac:dyDescent="0.3">
      <c r="A39" s="18" t="s">
        <v>111</v>
      </c>
      <c r="B39" s="19">
        <f>'[1]Peer Analysis working '!I34</f>
        <v>424.30483395116869</v>
      </c>
      <c r="C39" s="19">
        <f>'[1]Peer Analysis working '!J34</f>
        <v>3159.0198334701026</v>
      </c>
      <c r="D39" s="19">
        <f>'[1]Peer Analysis working '!K34</f>
        <v>834.57076928658807</v>
      </c>
      <c r="E39" s="19">
        <f>'[1]Peer Analysis working '!L34</f>
        <v>1979.6308102742653</v>
      </c>
      <c r="F39" s="19">
        <f>'[1]Peer Analysis working '!M34</f>
        <v>2328.7001605629166</v>
      </c>
      <c r="G39" s="19"/>
    </row>
    <row r="40" spans="1:7" x14ac:dyDescent="0.3">
      <c r="A40" s="18" t="s">
        <v>110</v>
      </c>
      <c r="B40" s="17">
        <f>'[1]Peer Analysis working '!I38</f>
        <v>9.1637358343103104E-2</v>
      </c>
      <c r="C40" s="17">
        <f>'[1]Peer Analysis working '!J38</f>
        <v>0.16579733310898917</v>
      </c>
      <c r="D40" s="17">
        <f>'[1]Peer Analysis working '!K38</f>
        <v>9.392948941706597E-2</v>
      </c>
      <c r="E40" s="17">
        <f>'[1]Peer Analysis working '!L38</f>
        <v>1.6456761797864088E-2</v>
      </c>
      <c r="F40" s="17">
        <f>'[1]Peer Analysis working '!M38</f>
        <v>0.13475731188254128</v>
      </c>
      <c r="G40" s="17"/>
    </row>
    <row r="41" spans="1:7" x14ac:dyDescent="0.3">
      <c r="A41" s="18" t="s">
        <v>109</v>
      </c>
      <c r="B41" s="17">
        <f>'[1]Peer Analysis working '!I39</f>
        <v>0.15966919879744115</v>
      </c>
      <c r="C41" s="17">
        <f>'[1]Peer Analysis working '!J39</f>
        <v>0.23463756949794889</v>
      </c>
      <c r="D41" s="17">
        <f>'[1]Peer Analysis working '!K39</f>
        <v>0.16266310441067727</v>
      </c>
      <c r="E41" s="17">
        <f>'[1]Peer Analysis working '!L39</f>
        <v>7.0130917016226549E-2</v>
      </c>
      <c r="F41" s="17">
        <f>'[1]Peer Analysis working '!M39</f>
        <v>0.12677259525029899</v>
      </c>
      <c r="G41" s="17"/>
    </row>
    <row r="42" spans="1:7" x14ac:dyDescent="0.3">
      <c r="A42" s="18" t="s">
        <v>108</v>
      </c>
      <c r="B42" s="20">
        <f>'[1]Peer Analysis working '!I40</f>
        <v>0.19664505085895492</v>
      </c>
      <c r="C42" s="20">
        <f>'[1]Peer Analysis working '!J40</f>
        <v>0.68930559505911992</v>
      </c>
      <c r="D42" s="20">
        <f>'[1]Peer Analysis working '!K40</f>
        <v>0.63170644710638169</v>
      </c>
      <c r="E42" s="20">
        <f>'[1]Peer Analysis working '!L40</f>
        <v>0.8970505519229417</v>
      </c>
      <c r="F42" s="20">
        <f>'[1]Peer Analysis working '!M40</f>
        <v>0.46451642047251207</v>
      </c>
      <c r="G42" s="20"/>
    </row>
    <row r="43" spans="1:7" x14ac:dyDescent="0.3">
      <c r="A43" s="18" t="s">
        <v>107</v>
      </c>
      <c r="B43" s="21">
        <f>'[1]Peer Analysis working '!I45</f>
        <v>66.342013720741051</v>
      </c>
      <c r="C43" s="21">
        <f>'[1]Peer Analysis working '!J45</f>
        <v>65.062573645930684</v>
      </c>
      <c r="D43" s="21">
        <f>'[1]Peer Analysis working '!K45</f>
        <v>86.592976250631622</v>
      </c>
      <c r="E43" s="21">
        <f>'[1]Peer Analysis working '!L45</f>
        <v>107.90185790620825</v>
      </c>
      <c r="F43" s="21">
        <f>'[1]Peer Analysis working '!M45</f>
        <v>56.711275240547494</v>
      </c>
      <c r="G43" s="21"/>
    </row>
    <row r="44" spans="1:7" x14ac:dyDescent="0.3">
      <c r="A44" s="18" t="s">
        <v>83</v>
      </c>
      <c r="B44" s="21">
        <f>'[1]Peer Analysis working '!I47</f>
        <v>0</v>
      </c>
      <c r="C44" s="21">
        <f>'[1]Peer Analysis working '!J47</f>
        <v>0</v>
      </c>
      <c r="D44" s="21">
        <f>'[1]Peer Analysis working '!K47</f>
        <v>10.79</v>
      </c>
      <c r="E44" s="21">
        <f>'[1]Peer Analysis working '!L47</f>
        <v>0</v>
      </c>
      <c r="F44" s="21">
        <f>'[1]Peer Analysis working '!M47</f>
        <v>16.899999999999999</v>
      </c>
      <c r="G44" s="21"/>
    </row>
    <row r="45" spans="1:7" x14ac:dyDescent="0.3">
      <c r="A45" s="18" t="s">
        <v>106</v>
      </c>
      <c r="B45" s="22">
        <f>'[1]Peer Analysis working '!I46</f>
        <v>6242.8348665021331</v>
      </c>
      <c r="C45" s="21">
        <f>'[1]Peer Analysis working '!J46</f>
        <v>17.260000000000002</v>
      </c>
      <c r="D45" s="21">
        <f>'[1]Peer Analysis working '!K46</f>
        <v>29.69</v>
      </c>
      <c r="E45" s="21">
        <f>'[1]Peer Analysis working '!L46</f>
        <v>50.87</v>
      </c>
      <c r="F45" s="21">
        <f>'[1]Peer Analysis working '!M46</f>
        <v>51.52</v>
      </c>
      <c r="G45" s="21"/>
    </row>
    <row r="46" spans="1:7" x14ac:dyDescent="0.3">
      <c r="A46" s="18" t="s">
        <v>105</v>
      </c>
      <c r="B46" s="22">
        <f>'[1]Peer Analysis working '!I48</f>
        <v>-6176.4928527813918</v>
      </c>
      <c r="C46" s="21">
        <f>'[1]Peer Analysis working '!J48</f>
        <v>47.802573645930678</v>
      </c>
      <c r="D46" s="21">
        <f>'[1]Peer Analysis working '!K48</f>
        <v>67.692976250631631</v>
      </c>
      <c r="E46" s="21">
        <f>'[1]Peer Analysis working '!L48</f>
        <v>57.031857906208252</v>
      </c>
      <c r="F46" s="21">
        <f>'[1]Peer Analysis working '!M48</f>
        <v>22.091275240547482</v>
      </c>
      <c r="G46" s="21"/>
    </row>
    <row r="47" spans="1:7" x14ac:dyDescent="0.3">
      <c r="A47" s="18" t="s">
        <v>85</v>
      </c>
      <c r="B47" s="21">
        <f>'[1]Peer Analysis working '!I49</f>
        <v>38.568782865166789</v>
      </c>
      <c r="C47" s="21">
        <f>'[1]Peer Analysis working '!J49</f>
        <v>104.5124131485921</v>
      </c>
      <c r="D47" s="21">
        <f>'[1]Peer Analysis working '!K49</f>
        <v>-3.1679695627619462</v>
      </c>
      <c r="E47" s="21">
        <f>'[1]Peer Analysis working '!L49</f>
        <v>102.35551571398437</v>
      </c>
      <c r="F47" s="21">
        <f>'[1]Peer Analysis working '!M49</f>
        <v>168.22119076658987</v>
      </c>
      <c r="G47" s="21"/>
    </row>
    <row r="48" spans="1:7" x14ac:dyDescent="0.3">
      <c r="A48" s="18" t="s">
        <v>104</v>
      </c>
      <c r="B48" s="20">
        <f>'[1]Peer Analysis working '!I41</f>
        <v>0.2653350844873027</v>
      </c>
      <c r="C48" s="20">
        <f>'[1]Peer Analysis working '!J41</f>
        <v>0</v>
      </c>
      <c r="D48" s="20">
        <f>'[1]Peer Analysis working '!K41</f>
        <v>0.38774474026592198</v>
      </c>
      <c r="E48" s="20">
        <f>'[1]Peer Analysis working '!L41</f>
        <v>0.15337635970486771</v>
      </c>
      <c r="F48" s="20">
        <f>'[1]Peer Analysis working '!M41</f>
        <v>0.14596430942246866</v>
      </c>
      <c r="G48" s="20"/>
    </row>
    <row r="49" spans="1:7" x14ac:dyDescent="0.3">
      <c r="A49" s="18" t="s">
        <v>103</v>
      </c>
      <c r="B49" s="20">
        <f>'[1]Peer Analysis working '!I42</f>
        <v>-5.998289980519883E-2</v>
      </c>
      <c r="C49" s="20">
        <f>'[1]Peer Analysis working '!J42</f>
        <v>-3.8383880873259578E-2</v>
      </c>
      <c r="D49" s="20">
        <f>'[1]Peer Analysis working '!K42</f>
        <v>0.16510646399898457</v>
      </c>
      <c r="E49" s="20">
        <f>'[1]Peer Analysis working '!L42</f>
        <v>0.128352838254956</v>
      </c>
      <c r="F49" s="20">
        <f>'[1]Peer Analysis working '!M42</f>
        <v>-0.22570190167519233</v>
      </c>
      <c r="G49" s="20"/>
    </row>
    <row r="50" spans="1:7" x14ac:dyDescent="0.3">
      <c r="A50" s="18" t="s">
        <v>99</v>
      </c>
      <c r="B50" s="19">
        <f>'[1]Peer Analysis working '!I51</f>
        <v>3.7837018647884131</v>
      </c>
      <c r="C50" s="19">
        <f>'[1]Peer Analysis working '!J51</f>
        <v>158.70422535211267</v>
      </c>
      <c r="D50" s="19">
        <f>'[1]Peer Analysis working '!K51</f>
        <v>2.2760347129506009</v>
      </c>
      <c r="E50" s="19">
        <f>'[1]Peer Analysis working '!L51</f>
        <v>3.4877505567928733</v>
      </c>
      <c r="F50" s="19">
        <f>'[1]Peer Analysis working '!M51</f>
        <v>10.687242798353909</v>
      </c>
      <c r="G50" s="19"/>
    </row>
    <row r="51" spans="1:7" x14ac:dyDescent="0.3">
      <c r="A51" s="18" t="s">
        <v>102</v>
      </c>
      <c r="B51" s="17">
        <f>'[1]Peer Analysis working '!I50</f>
        <v>0.19180342391424715</v>
      </c>
      <c r="C51" s="17">
        <f>'[1]Peer Analysis working '!J50</f>
        <v>0</v>
      </c>
      <c r="D51" s="17">
        <f>'[1]Peer Analysis working '!K50</f>
        <v>0.24519191423193387</v>
      </c>
      <c r="E51" s="17">
        <f>'[1]Peer Analysis working '!L50</f>
        <v>0.14496340938441668</v>
      </c>
      <c r="F51" s="17">
        <f>'[1]Peer Analysis working '!M50</f>
        <v>0.13001605136436598</v>
      </c>
      <c r="G51" s="17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4"/>
  <sheetViews>
    <sheetView tabSelected="1" topLeftCell="B40" zoomScale="80" zoomScaleNormal="80" workbookViewId="0">
      <selection activeCell="T63" sqref="T63"/>
    </sheetView>
  </sheetViews>
  <sheetFormatPr defaultRowHeight="14.4" x14ac:dyDescent="0.3"/>
  <cols>
    <col min="1" max="1" width="49.5546875" bestFit="1" customWidth="1"/>
    <col min="2" max="3" width="9.88671875" customWidth="1"/>
    <col min="4" max="6" width="9.88671875" bestFit="1" customWidth="1"/>
    <col min="7" max="7" width="10.109375" bestFit="1" customWidth="1"/>
    <col min="8" max="8" width="10.88671875" bestFit="1" customWidth="1"/>
    <col min="9" max="9" width="10.88671875" customWidth="1"/>
    <col min="10" max="10" width="9.88671875" bestFit="1" customWidth="1"/>
    <col min="11" max="11" width="44.33203125" bestFit="1" customWidth="1"/>
    <col min="12" max="16" width="10.109375" bestFit="1" customWidth="1"/>
    <col min="17" max="17" width="11.33203125" bestFit="1" customWidth="1"/>
    <col min="18" max="18" width="11.88671875" customWidth="1"/>
    <col min="19" max="19" width="12.6640625" customWidth="1"/>
    <col min="21" max="21" width="9.33203125" bestFit="1" customWidth="1"/>
  </cols>
  <sheetData>
    <row r="1" spans="1:19" ht="18.600000000000001" thickBot="1" x14ac:dyDescent="0.35">
      <c r="A1" s="145" t="s">
        <v>134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ht="18.600000000000001" thickBot="1" x14ac:dyDescent="0.35">
      <c r="A2" s="142" t="s">
        <v>91</v>
      </c>
      <c r="B2" s="143"/>
      <c r="C2" s="143"/>
      <c r="D2" s="143"/>
      <c r="E2" s="143"/>
      <c r="F2" s="143"/>
      <c r="G2" s="143"/>
      <c r="H2" s="143"/>
      <c r="I2" s="144"/>
      <c r="J2" s="112"/>
      <c r="K2" s="142" t="s">
        <v>149</v>
      </c>
      <c r="L2" s="143"/>
      <c r="M2" s="143"/>
      <c r="N2" s="143"/>
      <c r="O2" s="143"/>
      <c r="P2" s="143"/>
      <c r="Q2" s="143"/>
      <c r="R2" s="143"/>
      <c r="S2" s="144"/>
    </row>
    <row r="3" spans="1:19" x14ac:dyDescent="0.3">
      <c r="A3" s="93" t="s">
        <v>0</v>
      </c>
      <c r="B3" s="69" t="s">
        <v>33</v>
      </c>
      <c r="C3" s="69" t="s">
        <v>1</v>
      </c>
      <c r="D3" s="69" t="s">
        <v>2</v>
      </c>
      <c r="E3" s="69" t="s">
        <v>48</v>
      </c>
      <c r="F3" s="69" t="s">
        <v>133</v>
      </c>
      <c r="G3" s="69" t="s">
        <v>135</v>
      </c>
      <c r="H3" s="69" t="s">
        <v>148</v>
      </c>
      <c r="I3" s="70" t="s">
        <v>154</v>
      </c>
      <c r="J3" s="67"/>
      <c r="K3" s="93" t="s">
        <v>0</v>
      </c>
      <c r="L3" s="69" t="s">
        <v>33</v>
      </c>
      <c r="M3" s="69" t="s">
        <v>1</v>
      </c>
      <c r="N3" s="69" t="s">
        <v>2</v>
      </c>
      <c r="O3" s="69" t="s">
        <v>48</v>
      </c>
      <c r="P3" s="69" t="s">
        <v>133</v>
      </c>
      <c r="Q3" s="69" t="s">
        <v>135</v>
      </c>
      <c r="R3" s="127" t="s">
        <v>148</v>
      </c>
      <c r="S3" s="70" t="s">
        <v>150</v>
      </c>
    </row>
    <row r="4" spans="1:19" x14ac:dyDescent="0.3">
      <c r="A4" s="71" t="s">
        <v>34</v>
      </c>
      <c r="B4" s="6">
        <v>2858.7</v>
      </c>
      <c r="C4" s="6">
        <v>3580.45</v>
      </c>
      <c r="D4" s="6">
        <v>3587.81</v>
      </c>
      <c r="E4" s="6">
        <v>3858.07</v>
      </c>
      <c r="F4" s="6">
        <v>4804.3</v>
      </c>
      <c r="G4" s="6">
        <v>6656.04</v>
      </c>
      <c r="H4" s="6">
        <v>7616.2550000000001</v>
      </c>
      <c r="I4" s="72">
        <v>6431.2610000000004</v>
      </c>
      <c r="K4" s="71" t="s">
        <v>3</v>
      </c>
      <c r="L4" s="6">
        <v>99.43</v>
      </c>
      <c r="M4" s="6">
        <v>99.43</v>
      </c>
      <c r="N4" s="6">
        <v>99.43</v>
      </c>
      <c r="O4" s="6">
        <v>99.58</v>
      </c>
      <c r="P4" s="6">
        <v>100.07</v>
      </c>
      <c r="Q4" s="6">
        <v>100.36499999999999</v>
      </c>
      <c r="R4" s="6">
        <v>100.73099999999999</v>
      </c>
      <c r="S4" s="72">
        <v>128.017</v>
      </c>
    </row>
    <row r="5" spans="1:19" x14ac:dyDescent="0.3">
      <c r="A5" s="94" t="s">
        <v>35</v>
      </c>
      <c r="B5" s="121"/>
      <c r="C5" s="11">
        <f t="shared" ref="C5:H5" si="0">C4/B4-1</f>
        <v>0.25247490117885762</v>
      </c>
      <c r="D5" s="11">
        <f t="shared" si="0"/>
        <v>2.0556075353657111E-3</v>
      </c>
      <c r="E5" s="11">
        <f t="shared" si="0"/>
        <v>7.5327288791769975E-2</v>
      </c>
      <c r="F5" s="11">
        <f t="shared" si="0"/>
        <v>0.24525993566731552</v>
      </c>
      <c r="G5" s="11">
        <f t="shared" si="0"/>
        <v>0.38543388214724295</v>
      </c>
      <c r="H5" s="11">
        <f t="shared" si="0"/>
        <v>0.14426220395310119</v>
      </c>
      <c r="I5" s="109"/>
      <c r="J5" s="56"/>
      <c r="K5" s="71" t="s">
        <v>4</v>
      </c>
      <c r="L5" s="6">
        <v>1380.74</v>
      </c>
      <c r="M5" s="6">
        <v>1653.95</v>
      </c>
      <c r="N5" s="6">
        <v>1962.37</v>
      </c>
      <c r="O5" s="6">
        <v>2493.2800000000002</v>
      </c>
      <c r="P5" s="6">
        <v>3084.92</v>
      </c>
      <c r="Q5" s="6">
        <v>3944.973</v>
      </c>
      <c r="R5" s="6">
        <v>4953.5630000000001</v>
      </c>
      <c r="S5" s="72">
        <v>5537.5060000000003</v>
      </c>
    </row>
    <row r="6" spans="1:19" x14ac:dyDescent="0.3">
      <c r="A6" s="94" t="s">
        <v>36</v>
      </c>
      <c r="B6" s="122"/>
      <c r="C6" s="11"/>
      <c r="D6" s="11"/>
      <c r="E6" s="11">
        <f>((E4/B4)^(1/3)-1)</f>
        <v>0.10509727282179826</v>
      </c>
      <c r="F6" s="11">
        <f t="shared" ref="F6" si="1">((F4/C4)^(1/3)-1)</f>
        <v>0.10297118949294526</v>
      </c>
      <c r="G6" s="11">
        <f>((G4/D4)^(1/3)-1)</f>
        <v>0.22874612828701002</v>
      </c>
      <c r="H6" s="11">
        <f>((H4/E4)^(1/3)-1)</f>
        <v>0.2544608853680983</v>
      </c>
      <c r="I6" s="109"/>
      <c r="J6" s="56"/>
      <c r="K6" s="103" t="s">
        <v>5</v>
      </c>
      <c r="L6" s="13">
        <f t="shared" ref="L6:S6" si="2">SUM(L4:L5)</f>
        <v>1480.17</v>
      </c>
      <c r="M6" s="13">
        <f t="shared" si="2"/>
        <v>1753.38</v>
      </c>
      <c r="N6" s="13">
        <f t="shared" si="2"/>
        <v>2061.7999999999997</v>
      </c>
      <c r="O6" s="13">
        <f t="shared" si="2"/>
        <v>2592.86</v>
      </c>
      <c r="P6" s="13">
        <f t="shared" si="2"/>
        <v>3184.9900000000002</v>
      </c>
      <c r="Q6" s="13">
        <f t="shared" si="2"/>
        <v>4045.3379999999997</v>
      </c>
      <c r="R6" s="13">
        <f t="shared" si="2"/>
        <v>5054.2939999999999</v>
      </c>
      <c r="S6" s="88">
        <f t="shared" si="2"/>
        <v>5665.5230000000001</v>
      </c>
    </row>
    <row r="7" spans="1:19" x14ac:dyDescent="0.3">
      <c r="A7" s="84" t="s">
        <v>136</v>
      </c>
      <c r="B7" s="6"/>
      <c r="C7" s="6"/>
      <c r="D7" s="6"/>
      <c r="E7" s="6"/>
      <c r="F7" s="6"/>
      <c r="G7" s="6"/>
      <c r="H7" s="6"/>
      <c r="I7" s="72"/>
      <c r="J7" s="55"/>
      <c r="K7" s="71" t="s">
        <v>143</v>
      </c>
      <c r="L7" s="6">
        <v>60.86</v>
      </c>
      <c r="M7" s="6">
        <v>48.18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72">
        <v>0</v>
      </c>
    </row>
    <row r="8" spans="1:19" x14ac:dyDescent="0.3">
      <c r="A8" s="85" t="s">
        <v>37</v>
      </c>
      <c r="B8" s="6">
        <v>1354.11</v>
      </c>
      <c r="C8" s="6">
        <v>1654.19</v>
      </c>
      <c r="D8" s="6">
        <v>1814.15</v>
      </c>
      <c r="E8" s="6">
        <v>1829.21</v>
      </c>
      <c r="F8" s="6">
        <v>2095.35</v>
      </c>
      <c r="G8" s="6">
        <v>2979.1039999999998</v>
      </c>
      <c r="H8" s="6">
        <v>3471.8589999999999</v>
      </c>
      <c r="I8" s="72">
        <v>3006.9949999999999</v>
      </c>
      <c r="J8" s="55"/>
      <c r="K8" s="71" t="s">
        <v>6</v>
      </c>
      <c r="L8" s="6">
        <v>380.49</v>
      </c>
      <c r="M8" s="6">
        <v>316.02</v>
      </c>
      <c r="N8" s="6">
        <v>246.95</v>
      </c>
      <c r="O8" s="6">
        <v>200</v>
      </c>
      <c r="P8" s="6">
        <v>38.799999999999997</v>
      </c>
      <c r="Q8" s="6">
        <v>0</v>
      </c>
      <c r="R8" s="6">
        <v>72.706999999999994</v>
      </c>
      <c r="S8" s="72">
        <v>306.38299999999998</v>
      </c>
    </row>
    <row r="9" spans="1:19" x14ac:dyDescent="0.3">
      <c r="A9" s="85" t="s">
        <v>137</v>
      </c>
      <c r="B9" s="9">
        <v>752.59</v>
      </c>
      <c r="C9" s="9">
        <v>914.03</v>
      </c>
      <c r="D9" s="9">
        <v>898.9</v>
      </c>
      <c r="E9" s="9">
        <v>1124.22</v>
      </c>
      <c r="F9" s="9">
        <v>1639.49</v>
      </c>
      <c r="G9" s="9">
        <v>2242.5309999999999</v>
      </c>
      <c r="H9" s="9">
        <v>2339.1149999999998</v>
      </c>
      <c r="I9" s="126">
        <v>1796.4929999999999</v>
      </c>
      <c r="J9" s="57"/>
      <c r="K9" s="71" t="s">
        <v>7</v>
      </c>
      <c r="L9" s="4">
        <v>44.19</v>
      </c>
      <c r="M9" s="4">
        <v>73.91</v>
      </c>
      <c r="N9" s="4">
        <v>8.5399999999999991</v>
      </c>
      <c r="O9" s="4">
        <v>0</v>
      </c>
      <c r="P9" s="4">
        <v>1.62</v>
      </c>
      <c r="Q9" s="4">
        <v>0</v>
      </c>
      <c r="R9" s="4">
        <v>10.834</v>
      </c>
      <c r="S9" s="106">
        <v>58.558999999999997</v>
      </c>
    </row>
    <row r="10" spans="1:19" x14ac:dyDescent="0.3">
      <c r="A10" s="85" t="s">
        <v>38</v>
      </c>
      <c r="B10" s="6">
        <v>356.03</v>
      </c>
      <c r="C10" s="6">
        <v>420.61</v>
      </c>
      <c r="D10" s="6">
        <v>264.5</v>
      </c>
      <c r="E10" s="6">
        <v>260.5</v>
      </c>
      <c r="F10" s="6">
        <v>279.2</v>
      </c>
      <c r="G10" s="6">
        <v>352.87900000000002</v>
      </c>
      <c r="H10" s="6">
        <v>438.435</v>
      </c>
      <c r="I10" s="72">
        <v>529.18299999999999</v>
      </c>
      <c r="J10" s="58"/>
      <c r="K10" s="103" t="s">
        <v>25</v>
      </c>
      <c r="L10" s="10">
        <f t="shared" ref="L10" si="3">SUM(L8:L9)</f>
        <v>424.68</v>
      </c>
      <c r="M10" s="10">
        <f>SUM(M8:M9)</f>
        <v>389.92999999999995</v>
      </c>
      <c r="N10" s="10">
        <f>SUM(N8:N9)</f>
        <v>255.48999999999998</v>
      </c>
      <c r="O10" s="10">
        <f>SUM(O8:O9)</f>
        <v>200</v>
      </c>
      <c r="P10" s="10">
        <f>SUM(P8:P9)</f>
        <v>40.419999999999995</v>
      </c>
      <c r="Q10" s="13">
        <f t="shared" ref="Q10" si="4">SUM(Q8:Q9)</f>
        <v>0</v>
      </c>
      <c r="R10" s="13">
        <f>SUM(R8:R9)</f>
        <v>83.540999999999997</v>
      </c>
      <c r="S10" s="88">
        <f>SUM(S8:S9)</f>
        <v>364.94200000000001</v>
      </c>
    </row>
    <row r="11" spans="1:19" x14ac:dyDescent="0.3">
      <c r="A11" s="80" t="s">
        <v>39</v>
      </c>
      <c r="B11" s="66">
        <f t="shared" ref="B11" si="5">B4-SUM(B8:B10)</f>
        <v>395.97000000000025</v>
      </c>
      <c r="C11" s="66">
        <f t="shared" ref="C11:H11" si="6">C4-SUM(C8:C10)</f>
        <v>591.61999999999944</v>
      </c>
      <c r="D11" s="66">
        <f t="shared" si="6"/>
        <v>610.25999999999976</v>
      </c>
      <c r="E11" s="66">
        <f t="shared" si="6"/>
        <v>644.13999999999987</v>
      </c>
      <c r="F11" s="66">
        <f t="shared" si="6"/>
        <v>790.26000000000022</v>
      </c>
      <c r="G11" s="66">
        <f t="shared" si="6"/>
        <v>1081.5259999999998</v>
      </c>
      <c r="H11" s="66">
        <f t="shared" si="6"/>
        <v>1366.8459999999995</v>
      </c>
      <c r="I11" s="82">
        <f>I4-SUM(I8:I10)</f>
        <v>1098.5900000000011</v>
      </c>
      <c r="J11" s="57"/>
      <c r="K11" s="81"/>
      <c r="L11" s="5"/>
      <c r="M11" s="5"/>
      <c r="N11" s="5"/>
      <c r="O11" s="6"/>
      <c r="P11" s="6"/>
      <c r="Q11" s="6"/>
      <c r="R11" s="6"/>
      <c r="S11" s="72"/>
    </row>
    <row r="12" spans="1:19" x14ac:dyDescent="0.3">
      <c r="A12" s="94" t="s">
        <v>40</v>
      </c>
      <c r="B12" s="95">
        <f>B11/B4</f>
        <v>0.13851400986462387</v>
      </c>
      <c r="C12" s="95">
        <f t="shared" ref="C12:H12" si="7">C11/C4</f>
        <v>0.16523621332514055</v>
      </c>
      <c r="D12" s="95">
        <f t="shared" si="7"/>
        <v>0.17009261917437093</v>
      </c>
      <c r="E12" s="95">
        <f t="shared" si="7"/>
        <v>0.16695912723200976</v>
      </c>
      <c r="F12" s="95">
        <f t="shared" si="7"/>
        <v>0.16449014424577987</v>
      </c>
      <c r="G12" s="95">
        <f t="shared" si="7"/>
        <v>0.16248790572172039</v>
      </c>
      <c r="H12" s="95">
        <f t="shared" si="7"/>
        <v>0.17946431678035984</v>
      </c>
      <c r="I12" s="96">
        <f>I11/I4</f>
        <v>0.1708203103559319</v>
      </c>
      <c r="J12" s="55"/>
      <c r="K12" s="80" t="s">
        <v>26</v>
      </c>
      <c r="L12" s="66">
        <f t="shared" ref="L12:Q12" si="8">L6+L8+L56</f>
        <v>1948.01</v>
      </c>
      <c r="M12" s="66">
        <f t="shared" si="8"/>
        <v>2106.19</v>
      </c>
      <c r="N12" s="66">
        <f t="shared" si="8"/>
        <v>2397.3399999999997</v>
      </c>
      <c r="O12" s="66">
        <f t="shared" si="8"/>
        <v>2897.6400000000003</v>
      </c>
      <c r="P12" s="66">
        <f t="shared" si="8"/>
        <v>3454.2700000000004</v>
      </c>
      <c r="Q12" s="66">
        <f t="shared" si="8"/>
        <v>4268.9359999999997</v>
      </c>
      <c r="R12" s="66">
        <f>R6+R8+R56</f>
        <v>5704.5730000000003</v>
      </c>
      <c r="S12" s="82">
        <f>S6+S8+S56</f>
        <v>6631.0820000000003</v>
      </c>
    </row>
    <row r="13" spans="1:19" x14ac:dyDescent="0.3">
      <c r="A13" s="94" t="s">
        <v>35</v>
      </c>
      <c r="B13" s="11"/>
      <c r="C13" s="11">
        <f t="shared" ref="C13:H13" si="9">C11/B11-1</f>
        <v>0.49410308861782215</v>
      </c>
      <c r="D13" s="11">
        <f t="shared" si="9"/>
        <v>3.1506710388425674E-2</v>
      </c>
      <c r="E13" s="11">
        <f t="shared" si="9"/>
        <v>5.5517320486350386E-2</v>
      </c>
      <c r="F13" s="11">
        <f t="shared" si="9"/>
        <v>0.22684509578663081</v>
      </c>
      <c r="G13" s="11">
        <f t="shared" si="9"/>
        <v>0.36856983777490893</v>
      </c>
      <c r="H13" s="11">
        <f t="shared" si="9"/>
        <v>0.26381242799525828</v>
      </c>
      <c r="I13" s="109"/>
      <c r="J13" s="59"/>
      <c r="K13" s="80" t="s">
        <v>27</v>
      </c>
      <c r="L13" s="66">
        <f t="shared" ref="L13:Q13" si="10">L58-L49-L9</f>
        <v>2008.8700000000003</v>
      </c>
      <c r="M13" s="66">
        <f t="shared" si="10"/>
        <v>2154.37</v>
      </c>
      <c r="N13" s="66">
        <f t="shared" si="10"/>
        <v>2397.34</v>
      </c>
      <c r="O13" s="66">
        <f t="shared" si="10"/>
        <v>2897.6400000000003</v>
      </c>
      <c r="P13" s="66">
        <f t="shared" si="10"/>
        <v>3454.27</v>
      </c>
      <c r="Q13" s="66">
        <f t="shared" si="10"/>
        <v>4268.9359999999997</v>
      </c>
      <c r="R13" s="66">
        <f>R58-R49-R9</f>
        <v>5704.5730000000003</v>
      </c>
      <c r="S13" s="82">
        <f>S58-S49-S9</f>
        <v>6631.0819999999994</v>
      </c>
    </row>
    <row r="14" spans="1:19" x14ac:dyDescent="0.3">
      <c r="A14" s="94" t="s">
        <v>36</v>
      </c>
      <c r="B14" s="123"/>
      <c r="C14" s="11"/>
      <c r="D14" s="11"/>
      <c r="E14" s="11">
        <f>((E11/B11)^(1/3)-1)</f>
        <v>0.17608667225514241</v>
      </c>
      <c r="F14" s="11">
        <f>((F11/C11)^(1/3)-1)</f>
        <v>0.10130865176654136</v>
      </c>
      <c r="G14" s="11">
        <f>((G11/D11)^(1/3)-1)</f>
        <v>0.21015412795786181</v>
      </c>
      <c r="H14" s="11">
        <f>((H11/E11)^(1/3)-1)</f>
        <v>0.28502952368693979</v>
      </c>
      <c r="I14" s="109"/>
      <c r="J14" s="60"/>
      <c r="K14" s="71"/>
      <c r="L14" s="6"/>
      <c r="M14" s="6"/>
      <c r="N14" s="6"/>
      <c r="O14" s="6"/>
      <c r="P14" s="6"/>
      <c r="Q14" s="6"/>
      <c r="R14" s="6"/>
      <c r="S14" s="72"/>
    </row>
    <row r="15" spans="1:19" x14ac:dyDescent="0.3">
      <c r="A15" s="71" t="s">
        <v>41</v>
      </c>
      <c r="B15" s="6">
        <v>23.07</v>
      </c>
      <c r="C15" s="6">
        <v>21.81</v>
      </c>
      <c r="D15" s="6">
        <v>38.950000000000003</v>
      </c>
      <c r="E15" s="6">
        <v>40.9</v>
      </c>
      <c r="F15" s="6">
        <v>110.73</v>
      </c>
      <c r="G15" s="6">
        <v>94.302000000000007</v>
      </c>
      <c r="H15" s="6">
        <v>69.48</v>
      </c>
      <c r="I15" s="72">
        <v>103.042</v>
      </c>
      <c r="J15" s="56"/>
      <c r="K15" s="80" t="s">
        <v>8</v>
      </c>
      <c r="L15" s="66">
        <f t="shared" ref="L15:N15" si="11">L17+L20</f>
        <v>72.47</v>
      </c>
      <c r="M15" s="66">
        <f t="shared" si="11"/>
        <v>50.68</v>
      </c>
      <c r="N15" s="66">
        <f t="shared" si="11"/>
        <v>106.67</v>
      </c>
      <c r="O15" s="66">
        <f>O17+O20</f>
        <v>28.150000000000002</v>
      </c>
      <c r="P15" s="66">
        <f>P17+P20</f>
        <v>124.13000000000001</v>
      </c>
      <c r="Q15" s="66">
        <f>Q17+Q20</f>
        <v>151.87799999999999</v>
      </c>
      <c r="R15" s="66">
        <f>R17+R20</f>
        <v>150.261</v>
      </c>
      <c r="S15" s="82">
        <f>S17+S20</f>
        <v>144.298</v>
      </c>
    </row>
    <row r="16" spans="1:19" x14ac:dyDescent="0.3">
      <c r="A16" s="85" t="s">
        <v>138</v>
      </c>
      <c r="B16" s="6">
        <v>28.71</v>
      </c>
      <c r="C16" s="6">
        <v>42.69</v>
      </c>
      <c r="D16" s="6">
        <v>72.7</v>
      </c>
      <c r="E16" s="6">
        <v>66.709999999999994</v>
      </c>
      <c r="F16" s="6">
        <v>69.38</v>
      </c>
      <c r="G16" s="6">
        <v>99.629000000000005</v>
      </c>
      <c r="H16" s="6">
        <v>118.979</v>
      </c>
      <c r="I16" s="72">
        <v>92.155000000000001</v>
      </c>
      <c r="J16" s="56"/>
      <c r="K16" s="83" t="s">
        <v>9</v>
      </c>
      <c r="L16" s="6"/>
      <c r="M16" s="6"/>
      <c r="N16" s="6"/>
      <c r="O16" s="6"/>
      <c r="P16" s="6"/>
      <c r="Q16" s="6"/>
      <c r="R16" s="6"/>
      <c r="S16" s="72"/>
    </row>
    <row r="17" spans="1:19" x14ac:dyDescent="0.3">
      <c r="A17" s="85" t="s">
        <v>49</v>
      </c>
      <c r="B17" s="6">
        <v>52.14</v>
      </c>
      <c r="C17" s="6">
        <v>48.04</v>
      </c>
      <c r="D17" s="6">
        <v>51.41</v>
      </c>
      <c r="E17" s="6">
        <v>34.409999999999997</v>
      </c>
      <c r="F17" s="6">
        <v>27.77</v>
      </c>
      <c r="G17" s="6">
        <v>21.817</v>
      </c>
      <c r="H17" s="6">
        <v>35.258000000000003</v>
      </c>
      <c r="I17" s="72">
        <v>60.241999999999997</v>
      </c>
      <c r="J17" s="55"/>
      <c r="K17" s="71" t="s">
        <v>10</v>
      </c>
      <c r="L17" s="6">
        <v>26.03</v>
      </c>
      <c r="M17" s="6">
        <v>21.36</v>
      </c>
      <c r="N17" s="6">
        <v>84.95</v>
      </c>
      <c r="O17" s="6">
        <v>24.3</v>
      </c>
      <c r="P17" s="6">
        <v>120.76</v>
      </c>
      <c r="Q17" s="6">
        <v>146.91499999999999</v>
      </c>
      <c r="R17" s="6">
        <v>146.018</v>
      </c>
      <c r="S17" s="72">
        <v>140.95500000000001</v>
      </c>
    </row>
    <row r="18" spans="1:19" x14ac:dyDescent="0.3">
      <c r="A18" s="97" t="s">
        <v>88</v>
      </c>
      <c r="B18" s="6">
        <v>0</v>
      </c>
      <c r="C18" s="6">
        <v>0</v>
      </c>
      <c r="D18" s="6"/>
      <c r="E18" s="6">
        <v>0</v>
      </c>
      <c r="F18" s="6"/>
      <c r="G18" s="54"/>
      <c r="H18" s="54">
        <v>0</v>
      </c>
      <c r="I18" s="116">
        <v>0</v>
      </c>
      <c r="J18" s="55"/>
      <c r="K18" s="71" t="s">
        <v>144</v>
      </c>
      <c r="L18" s="6">
        <v>0</v>
      </c>
      <c r="M18" s="6">
        <v>0</v>
      </c>
      <c r="N18" s="6">
        <v>0</v>
      </c>
      <c r="O18" s="6">
        <v>82.66</v>
      </c>
      <c r="P18" s="6">
        <v>166.65</v>
      </c>
      <c r="Q18" s="6">
        <v>127.57</v>
      </c>
      <c r="R18" s="6">
        <v>149.27099999999999</v>
      </c>
      <c r="S18" s="72">
        <v>133.49</v>
      </c>
    </row>
    <row r="19" spans="1:19" x14ac:dyDescent="0.3">
      <c r="A19" s="98" t="s">
        <v>42</v>
      </c>
      <c r="B19" s="12">
        <f t="shared" ref="B19" si="12">B11+B15-SUM(B16:B18)</f>
        <v>338.19000000000028</v>
      </c>
      <c r="C19" s="12">
        <f>C11+C15-SUM(C16:C18)</f>
        <v>522.69999999999936</v>
      </c>
      <c r="D19" s="12">
        <f>D11+D15-SUM(D16:D18)</f>
        <v>525.0999999999998</v>
      </c>
      <c r="E19" s="12">
        <f t="shared" ref="E19" si="13">E11+E15-SUM(E16:E18)</f>
        <v>583.91999999999985</v>
      </c>
      <c r="F19" s="12">
        <f t="shared" ref="F19:G19" si="14">F11+F15-SUM(F16:F18)</f>
        <v>803.84000000000026</v>
      </c>
      <c r="G19" s="12">
        <f t="shared" si="14"/>
        <v>1054.3819999999998</v>
      </c>
      <c r="H19" s="12">
        <f>H11+H15-SUM(H16:H18)</f>
        <v>1282.0889999999995</v>
      </c>
      <c r="I19" s="110">
        <f>I11+I15-SUM(I16:I18)</f>
        <v>1049.235000000001</v>
      </c>
      <c r="J19" s="55"/>
      <c r="K19" s="71" t="s">
        <v>140</v>
      </c>
      <c r="L19" s="6">
        <v>1421.12</v>
      </c>
      <c r="M19" s="6">
        <v>1370.63</v>
      </c>
      <c r="N19" s="6">
        <v>1403.02</v>
      </c>
      <c r="O19" s="6">
        <v>1483.12</v>
      </c>
      <c r="P19" s="6">
        <v>1665.1</v>
      </c>
      <c r="Q19" s="6">
        <v>1903.319</v>
      </c>
      <c r="R19" s="6">
        <v>3269.8969999999999</v>
      </c>
      <c r="S19" s="72">
        <v>4232.9129999999996</v>
      </c>
    </row>
    <row r="20" spans="1:19" x14ac:dyDescent="0.3">
      <c r="A20" s="71" t="s">
        <v>43</v>
      </c>
      <c r="B20" s="6">
        <v>94.11</v>
      </c>
      <c r="C20" s="6">
        <v>140.6</v>
      </c>
      <c r="D20" s="6">
        <v>138.56</v>
      </c>
      <c r="E20" s="6">
        <v>129.49</v>
      </c>
      <c r="F20" s="6">
        <v>171.22</v>
      </c>
      <c r="G20" s="6">
        <v>234.60599999999999</v>
      </c>
      <c r="H20" s="6">
        <v>320.35899999999998</v>
      </c>
      <c r="I20" s="72">
        <v>261.52100000000002</v>
      </c>
      <c r="J20" s="55"/>
      <c r="K20" s="71" t="s">
        <v>28</v>
      </c>
      <c r="L20" s="6">
        <v>46.44</v>
      </c>
      <c r="M20" s="6">
        <v>29.32</v>
      </c>
      <c r="N20" s="6">
        <v>21.72</v>
      </c>
      <c r="O20" s="6">
        <v>3.85</v>
      </c>
      <c r="P20" s="6">
        <v>3.37</v>
      </c>
      <c r="Q20" s="6">
        <v>4.9630000000000001</v>
      </c>
      <c r="R20" s="6">
        <v>4.2430000000000003</v>
      </c>
      <c r="S20" s="72">
        <v>3.343</v>
      </c>
    </row>
    <row r="21" spans="1:19" x14ac:dyDescent="0.3">
      <c r="A21" s="94" t="s">
        <v>44</v>
      </c>
      <c r="B21" s="11">
        <f t="shared" ref="B21" si="15">B20/B19</f>
        <v>0.27827552559212254</v>
      </c>
      <c r="C21" s="11">
        <f t="shared" ref="C21:H21" si="16">C20/C19</f>
        <v>0.26898794719724539</v>
      </c>
      <c r="D21" s="11">
        <f t="shared" si="16"/>
        <v>0.26387354789563905</v>
      </c>
      <c r="E21" s="11">
        <f t="shared" si="16"/>
        <v>0.22175983011371428</v>
      </c>
      <c r="F21" s="11">
        <f t="shared" si="16"/>
        <v>0.21300258757961776</v>
      </c>
      <c r="G21" s="11">
        <f t="shared" si="16"/>
        <v>0.22250569527932004</v>
      </c>
      <c r="H21" s="11">
        <f t="shared" si="16"/>
        <v>0.24987266874608557</v>
      </c>
      <c r="I21" s="109">
        <f>I20/I19</f>
        <v>0.24924921490419186</v>
      </c>
      <c r="J21" s="61"/>
      <c r="K21" s="84" t="s">
        <v>11</v>
      </c>
      <c r="L21" s="6"/>
      <c r="M21" s="6"/>
      <c r="N21" s="6"/>
      <c r="O21" s="6"/>
      <c r="P21" s="6"/>
      <c r="Q21" s="6"/>
      <c r="R21" s="6"/>
      <c r="S21" s="72"/>
    </row>
    <row r="22" spans="1:19" x14ac:dyDescent="0.3">
      <c r="A22" s="80" t="s">
        <v>90</v>
      </c>
      <c r="B22" s="13">
        <f>B19-B20</f>
        <v>244.08000000000027</v>
      </c>
      <c r="C22" s="13">
        <f t="shared" ref="C22:I22" si="17">C19-C20</f>
        <v>382.09999999999934</v>
      </c>
      <c r="D22" s="13">
        <f t="shared" si="17"/>
        <v>386.53999999999979</v>
      </c>
      <c r="E22" s="13">
        <f t="shared" si="17"/>
        <v>454.42999999999984</v>
      </c>
      <c r="F22" s="13">
        <f t="shared" si="17"/>
        <v>632.62000000000023</v>
      </c>
      <c r="G22" s="13">
        <f t="shared" si="17"/>
        <v>819.77599999999984</v>
      </c>
      <c r="H22" s="13">
        <f t="shared" si="17"/>
        <v>961.72999999999956</v>
      </c>
      <c r="I22" s="88">
        <f t="shared" si="17"/>
        <v>787.71400000000108</v>
      </c>
      <c r="J22" s="62"/>
      <c r="K22" s="85" t="s">
        <v>29</v>
      </c>
      <c r="L22" s="6">
        <v>0.03</v>
      </c>
      <c r="M22" s="6">
        <v>0.03</v>
      </c>
      <c r="N22" s="6">
        <v>0.03</v>
      </c>
      <c r="O22" s="6">
        <v>0.03</v>
      </c>
      <c r="P22" s="6">
        <v>0</v>
      </c>
      <c r="Q22" s="6">
        <v>0</v>
      </c>
      <c r="R22" s="6">
        <v>0</v>
      </c>
      <c r="S22" s="72">
        <v>0</v>
      </c>
    </row>
    <row r="23" spans="1:19" x14ac:dyDescent="0.3">
      <c r="A23" s="94" t="s">
        <v>45</v>
      </c>
      <c r="B23" s="95">
        <f t="shared" ref="B23" si="18">B22/B4</f>
        <v>8.5381467100430361E-2</v>
      </c>
      <c r="C23" s="95">
        <f t="shared" ref="C23:H23" si="19">C22/C4</f>
        <v>0.10671842924772008</v>
      </c>
      <c r="D23" s="95">
        <f t="shared" si="19"/>
        <v>0.10773703178261942</v>
      </c>
      <c r="E23" s="95">
        <f t="shared" si="19"/>
        <v>0.11778687271096684</v>
      </c>
      <c r="F23" s="95">
        <f t="shared" si="19"/>
        <v>0.13167787190641722</v>
      </c>
      <c r="G23" s="95">
        <f t="shared" si="19"/>
        <v>0.12316272137787632</v>
      </c>
      <c r="H23" s="95">
        <f t="shared" si="19"/>
        <v>0.12627334562721437</v>
      </c>
      <c r="I23" s="96">
        <f>I22/I4</f>
        <v>0.12248204512303279</v>
      </c>
      <c r="J23" s="63"/>
      <c r="K23" s="85" t="s">
        <v>16</v>
      </c>
      <c r="L23" s="6">
        <v>0</v>
      </c>
      <c r="M23" s="6">
        <v>0</v>
      </c>
      <c r="N23" s="6">
        <v>0</v>
      </c>
      <c r="O23" s="6">
        <v>0</v>
      </c>
      <c r="P23" s="6">
        <v>70.150000000000006</v>
      </c>
      <c r="Q23" s="6">
        <v>0</v>
      </c>
      <c r="R23" s="6">
        <v>0</v>
      </c>
      <c r="S23" s="72">
        <v>0</v>
      </c>
    </row>
    <row r="24" spans="1:19" x14ac:dyDescent="0.3">
      <c r="A24" s="94" t="s">
        <v>35</v>
      </c>
      <c r="B24" s="11"/>
      <c r="C24" s="11">
        <f t="shared" ref="C24:F24" si="20">C22/B22-1</f>
        <v>0.56547033759422693</v>
      </c>
      <c r="D24" s="11">
        <f t="shared" si="20"/>
        <v>1.1619994765769359E-2</v>
      </c>
      <c r="E24" s="11">
        <f t="shared" si="20"/>
        <v>0.17563512185026142</v>
      </c>
      <c r="F24" s="11">
        <f t="shared" si="20"/>
        <v>0.39211759786985989</v>
      </c>
      <c r="G24" s="11">
        <f>G22/F22-1</f>
        <v>0.29584268597262109</v>
      </c>
      <c r="H24" s="11">
        <f>H22/G22-1</f>
        <v>0.17316193691935333</v>
      </c>
      <c r="I24" s="109"/>
      <c r="J24" s="61"/>
      <c r="K24" s="85" t="s">
        <v>12</v>
      </c>
      <c r="L24" s="6">
        <v>23.92</v>
      </c>
      <c r="M24" s="6">
        <v>20.21</v>
      </c>
      <c r="N24" s="6">
        <v>25.01</v>
      </c>
      <c r="O24" s="6">
        <v>103.41</v>
      </c>
      <c r="P24" s="9">
        <v>23.87</v>
      </c>
      <c r="Q24" s="6">
        <v>170.21299999999999</v>
      </c>
      <c r="R24" s="6">
        <v>30.498999999999999</v>
      </c>
      <c r="S24" s="72">
        <v>30.481000000000002</v>
      </c>
    </row>
    <row r="25" spans="1:19" x14ac:dyDescent="0.3">
      <c r="A25" s="94" t="s">
        <v>36</v>
      </c>
      <c r="B25" s="122"/>
      <c r="C25" s="11"/>
      <c r="D25" s="11"/>
      <c r="E25" s="11">
        <f>((E22/B22)^(1/3)-1)</f>
        <v>0.23020720594614308</v>
      </c>
      <c r="F25" s="11">
        <f>((F22/C22)^(1/3)-1)</f>
        <v>0.1830105746811963</v>
      </c>
      <c r="G25" s="11">
        <f>((G22/D22)^(1/3)-1)</f>
        <v>0.28479425439592765</v>
      </c>
      <c r="H25" s="11">
        <f>((H22/E22)^(1/3)-1)</f>
        <v>0.28389268084593922</v>
      </c>
      <c r="I25" s="109"/>
      <c r="J25" s="64"/>
      <c r="K25" s="71" t="s">
        <v>139</v>
      </c>
      <c r="L25" s="6">
        <v>10.91</v>
      </c>
      <c r="M25" s="6">
        <v>15.57</v>
      </c>
      <c r="N25" s="6">
        <v>28.84</v>
      </c>
      <c r="O25" s="6">
        <v>44.67</v>
      </c>
      <c r="P25" s="6">
        <v>47.25</v>
      </c>
      <c r="Q25" s="6">
        <v>73.019000000000005</v>
      </c>
      <c r="R25" s="6">
        <v>85.576999999999998</v>
      </c>
      <c r="S25" s="72">
        <v>93.531000000000006</v>
      </c>
    </row>
    <row r="26" spans="1:19" x14ac:dyDescent="0.3">
      <c r="A26" s="71" t="s">
        <v>46</v>
      </c>
      <c r="B26" s="6">
        <v>38.479999999999997</v>
      </c>
      <c r="C26" s="6">
        <v>-33.42</v>
      </c>
      <c r="D26" s="6">
        <v>54.97</v>
      </c>
      <c r="E26" s="6">
        <v>94.28</v>
      </c>
      <c r="F26" s="6">
        <v>3</v>
      </c>
      <c r="G26" s="6">
        <v>84.894000000000005</v>
      </c>
      <c r="H26" s="6">
        <v>80.447999999999993</v>
      </c>
      <c r="I26" s="72">
        <f>56.99-8.74</f>
        <v>48.25</v>
      </c>
      <c r="J26" s="58"/>
      <c r="K26" s="71" t="s">
        <v>13</v>
      </c>
      <c r="L26" s="4">
        <v>0.19</v>
      </c>
      <c r="M26" s="4">
        <v>0.47</v>
      </c>
      <c r="N26" s="4">
        <v>0</v>
      </c>
      <c r="O26" s="4">
        <v>0</v>
      </c>
      <c r="P26" s="62">
        <v>0.3</v>
      </c>
      <c r="R26">
        <v>0</v>
      </c>
      <c r="S26" s="86">
        <v>36.652999999999999</v>
      </c>
    </row>
    <row r="27" spans="1:19" x14ac:dyDescent="0.3">
      <c r="A27" s="81" t="s">
        <v>50</v>
      </c>
      <c r="B27" s="3">
        <f t="shared" ref="B27" si="21">B22+B26</f>
        <v>282.56000000000029</v>
      </c>
      <c r="C27" s="3">
        <f t="shared" ref="C27:H27" si="22">C22+C26</f>
        <v>348.67999999999932</v>
      </c>
      <c r="D27" s="3">
        <f t="shared" si="22"/>
        <v>441.50999999999976</v>
      </c>
      <c r="E27" s="3">
        <f t="shared" si="22"/>
        <v>548.70999999999981</v>
      </c>
      <c r="F27" s="3">
        <f t="shared" si="22"/>
        <v>635.62000000000023</v>
      </c>
      <c r="G27" s="3">
        <f t="shared" si="22"/>
        <v>904.66999999999985</v>
      </c>
      <c r="H27" s="3">
        <f t="shared" si="22"/>
        <v>1042.1779999999997</v>
      </c>
      <c r="I27" s="89">
        <f>I22+I26</f>
        <v>835.96400000000108</v>
      </c>
      <c r="J27" s="61"/>
      <c r="K27" s="87" t="s">
        <v>9</v>
      </c>
      <c r="L27" s="13">
        <f t="shared" ref="L27:Q27" si="23">SUM(L17:L26)</f>
        <v>1528.64</v>
      </c>
      <c r="M27" s="13">
        <f t="shared" si="23"/>
        <v>1457.59</v>
      </c>
      <c r="N27" s="13">
        <f t="shared" si="23"/>
        <v>1563.57</v>
      </c>
      <c r="O27" s="13">
        <f t="shared" si="23"/>
        <v>1742.04</v>
      </c>
      <c r="P27" s="13">
        <f t="shared" si="23"/>
        <v>2097.4500000000003</v>
      </c>
      <c r="Q27" s="13">
        <f t="shared" si="23"/>
        <v>2425.9990000000007</v>
      </c>
      <c r="R27" s="13">
        <f>SUM(R17:R26)</f>
        <v>3685.5049999999992</v>
      </c>
      <c r="S27" s="88">
        <f>SUM(S17:S26)</f>
        <v>4671.3659999999991</v>
      </c>
    </row>
    <row r="28" spans="1:19" x14ac:dyDescent="0.3">
      <c r="A28" s="94" t="s">
        <v>35</v>
      </c>
      <c r="B28" s="11"/>
      <c r="C28" s="11">
        <f t="shared" ref="C28:H28" si="24">C27/B27-1</f>
        <v>0.23400339750849009</v>
      </c>
      <c r="D28" s="11">
        <f t="shared" si="24"/>
        <v>0.26623264884708209</v>
      </c>
      <c r="E28" s="11">
        <f t="shared" si="24"/>
        <v>0.24280310751738376</v>
      </c>
      <c r="F28" s="11">
        <f t="shared" si="24"/>
        <v>0.15838967760748024</v>
      </c>
      <c r="G28" s="11">
        <f t="shared" si="24"/>
        <v>0.42328749882004901</v>
      </c>
      <c r="H28" s="11">
        <f t="shared" si="24"/>
        <v>0.15199796610918881</v>
      </c>
      <c r="I28" s="109"/>
      <c r="J28" s="61"/>
      <c r="K28" s="71"/>
      <c r="L28" s="5"/>
      <c r="M28" s="5"/>
      <c r="N28" s="5"/>
      <c r="O28" s="6"/>
      <c r="P28" s="6"/>
      <c r="Q28" s="6"/>
      <c r="R28" s="6"/>
      <c r="S28" s="72"/>
    </row>
    <row r="29" spans="1:19" x14ac:dyDescent="0.3">
      <c r="A29" s="94" t="s">
        <v>36</v>
      </c>
      <c r="B29" s="122"/>
      <c r="C29" s="11"/>
      <c r="D29" s="11"/>
      <c r="E29" s="11">
        <f>((E27/B27)^(1/3)-1)</f>
        <v>0.24760583633799182</v>
      </c>
      <c r="F29" s="11">
        <f>((F27/C27)^(1/3)-1)</f>
        <v>0.22158447746697774</v>
      </c>
      <c r="G29" s="11">
        <f>((G27/D27)^(1/3)-1)</f>
        <v>0.27013499338384661</v>
      </c>
      <c r="H29" s="11">
        <f>((H27/E27)^(1/3)-1)</f>
        <v>0.23841539452479332</v>
      </c>
      <c r="I29" s="109"/>
      <c r="J29" s="61"/>
      <c r="K29" s="83" t="s">
        <v>14</v>
      </c>
      <c r="L29" s="6"/>
      <c r="M29" s="6"/>
      <c r="N29" s="6"/>
      <c r="O29" s="6"/>
      <c r="P29" s="6"/>
      <c r="Q29" s="6"/>
      <c r="R29" s="6"/>
      <c r="S29" s="72"/>
    </row>
    <row r="30" spans="1:19" x14ac:dyDescent="0.3">
      <c r="A30" s="71" t="s">
        <v>47</v>
      </c>
      <c r="B30" s="62"/>
      <c r="C30" s="62"/>
      <c r="D30" s="62"/>
      <c r="E30" s="62"/>
      <c r="I30" s="86"/>
      <c r="J30" s="60"/>
      <c r="K30" s="83"/>
      <c r="L30" s="6"/>
      <c r="M30" s="6"/>
      <c r="N30" s="6"/>
      <c r="O30" s="6"/>
      <c r="P30" s="6"/>
      <c r="Q30" s="6"/>
      <c r="R30" s="6"/>
      <c r="S30" s="72"/>
    </row>
    <row r="31" spans="1:19" x14ac:dyDescent="0.3">
      <c r="A31" s="85" t="s">
        <v>51</v>
      </c>
      <c r="B31" s="129">
        <v>17.584</v>
      </c>
      <c r="C31" s="129">
        <v>2.9328000000000003</v>
      </c>
      <c r="D31" s="129">
        <v>3.0936000000000003</v>
      </c>
      <c r="E31" s="129">
        <v>3.6543999999999999</v>
      </c>
      <c r="F31" s="129">
        <v>5.0720000000000001</v>
      </c>
      <c r="G31" s="129">
        <v>6.5440000000000005</v>
      </c>
      <c r="H31" s="129">
        <v>7.66</v>
      </c>
      <c r="I31" s="131">
        <v>6.2</v>
      </c>
      <c r="J31" s="56"/>
      <c r="K31" s="84" t="s">
        <v>11</v>
      </c>
      <c r="L31" s="6"/>
      <c r="M31" s="6"/>
      <c r="N31" s="6"/>
      <c r="O31" s="6"/>
      <c r="P31" s="6"/>
      <c r="Q31" s="6"/>
      <c r="R31" s="6"/>
      <c r="S31" s="72"/>
    </row>
    <row r="32" spans="1:19" x14ac:dyDescent="0.3">
      <c r="A32" s="85" t="s">
        <v>52</v>
      </c>
      <c r="B32" s="129">
        <v>16.559999999999999</v>
      </c>
      <c r="C32" s="129">
        <v>2.7736000000000001</v>
      </c>
      <c r="D32" s="129">
        <v>2.9336000000000002</v>
      </c>
      <c r="E32" s="129">
        <v>3.4016000000000002</v>
      </c>
      <c r="F32" s="129">
        <v>4.6631999999999998</v>
      </c>
      <c r="G32" s="129">
        <v>6.0240000000000009</v>
      </c>
      <c r="H32" s="129">
        <v>7.66</v>
      </c>
      <c r="I32" s="131">
        <v>6.2</v>
      </c>
      <c r="J32" s="128"/>
      <c r="K32" s="85" t="s">
        <v>16</v>
      </c>
      <c r="L32" s="6">
        <v>0</v>
      </c>
      <c r="M32" s="6">
        <v>0</v>
      </c>
      <c r="N32" s="6">
        <v>55.14</v>
      </c>
      <c r="O32" s="6">
        <v>104.57</v>
      </c>
      <c r="P32" s="6">
        <v>104.93</v>
      </c>
      <c r="Q32" s="6">
        <v>90.34</v>
      </c>
      <c r="R32" s="6">
        <v>145.04300000000001</v>
      </c>
      <c r="S32" s="72">
        <v>127.94499999999999</v>
      </c>
    </row>
    <row r="33" spans="1:20" x14ac:dyDescent="0.3">
      <c r="A33" s="94" t="s">
        <v>35</v>
      </c>
      <c r="B33" s="11"/>
      <c r="C33" s="11">
        <f t="shared" ref="C33:H33" si="25">C32/B32-1</f>
        <v>-0.83251207729468601</v>
      </c>
      <c r="D33" s="11">
        <f t="shared" si="25"/>
        <v>5.768676088837621E-2</v>
      </c>
      <c r="E33" s="11">
        <f t="shared" si="25"/>
        <v>0.15953095173166076</v>
      </c>
      <c r="F33" s="11">
        <f t="shared" si="25"/>
        <v>0.37088428974600185</v>
      </c>
      <c r="G33" s="11">
        <f t="shared" si="25"/>
        <v>0.29181677817807539</v>
      </c>
      <c r="H33" s="11">
        <f t="shared" si="25"/>
        <v>0.27158034528552433</v>
      </c>
      <c r="I33" s="109"/>
      <c r="J33" s="55"/>
      <c r="K33" s="85" t="s">
        <v>15</v>
      </c>
      <c r="L33" s="6">
        <v>584.30999999999995</v>
      </c>
      <c r="M33" s="6">
        <v>649.54999999999995</v>
      </c>
      <c r="N33" s="6">
        <v>675.16</v>
      </c>
      <c r="O33" s="62">
        <v>643.96</v>
      </c>
      <c r="P33" s="6">
        <v>1061.96</v>
      </c>
      <c r="Q33" s="6">
        <v>1164.184</v>
      </c>
      <c r="R33" s="6">
        <v>1619.597</v>
      </c>
      <c r="S33" s="72">
        <v>1597.0519999999999</v>
      </c>
    </row>
    <row r="34" spans="1:20" ht="15" thickBot="1" x14ac:dyDescent="0.35">
      <c r="A34" s="118" t="s">
        <v>36</v>
      </c>
      <c r="B34" s="125"/>
      <c r="C34" s="119"/>
      <c r="D34" s="119"/>
      <c r="E34" s="119">
        <f>((E32/B32)^(1/3)-1)</f>
        <v>-0.40996971521985182</v>
      </c>
      <c r="F34" s="119">
        <f>((F32/C32)^(1/3)-1)</f>
        <v>0.1890863797208604</v>
      </c>
      <c r="G34" s="119">
        <f>((G32/D32)^(1/3)-1)</f>
        <v>0.27104625511630109</v>
      </c>
      <c r="H34" s="119">
        <f>((H32/E32)^(1/3)-1)</f>
        <v>0.31073584274238164</v>
      </c>
      <c r="I34" s="120"/>
      <c r="J34" s="61"/>
      <c r="K34" s="85" t="s">
        <v>17</v>
      </c>
      <c r="L34" s="6">
        <v>300.2</v>
      </c>
      <c r="M34" s="6">
        <v>400.57</v>
      </c>
      <c r="N34" s="6">
        <v>429.33</v>
      </c>
      <c r="O34" s="6">
        <v>900.06</v>
      </c>
      <c r="P34" s="6">
        <v>738.57</v>
      </c>
      <c r="Q34" s="6">
        <v>878.62800000000004</v>
      </c>
      <c r="R34" s="6">
        <v>1418.403</v>
      </c>
      <c r="S34" s="72">
        <v>1195.404</v>
      </c>
    </row>
    <row r="35" spans="1:20" ht="15" thickBot="1" x14ac:dyDescent="0.35">
      <c r="A35" s="71"/>
      <c r="I35" s="86"/>
      <c r="J35" s="56"/>
      <c r="K35" s="85" t="s">
        <v>18</v>
      </c>
      <c r="L35" s="54">
        <v>0</v>
      </c>
      <c r="M35" s="6"/>
      <c r="N35" s="6">
        <v>0</v>
      </c>
      <c r="O35" s="6">
        <v>0</v>
      </c>
      <c r="P35" s="6">
        <v>209.9</v>
      </c>
      <c r="Q35" s="6">
        <v>556.98500000000001</v>
      </c>
      <c r="R35" s="6">
        <v>506.81</v>
      </c>
      <c r="S35" s="72">
        <v>553.90200000000004</v>
      </c>
    </row>
    <row r="36" spans="1:20" x14ac:dyDescent="0.3">
      <c r="A36" s="68" t="s">
        <v>53</v>
      </c>
      <c r="B36" s="69" t="s">
        <v>33</v>
      </c>
      <c r="C36" s="69" t="s">
        <v>1</v>
      </c>
      <c r="D36" s="69" t="s">
        <v>2</v>
      </c>
      <c r="E36" s="69" t="s">
        <v>48</v>
      </c>
      <c r="F36" s="69" t="s">
        <v>133</v>
      </c>
      <c r="G36" s="69" t="s">
        <v>135</v>
      </c>
      <c r="H36" s="69" t="s">
        <v>148</v>
      </c>
      <c r="I36" s="70" t="s">
        <v>151</v>
      </c>
      <c r="J36" s="56"/>
      <c r="K36" s="85" t="s">
        <v>29</v>
      </c>
      <c r="L36" s="6">
        <v>1.98</v>
      </c>
      <c r="M36" s="6">
        <v>0.59</v>
      </c>
      <c r="N36" s="6">
        <v>1.4</v>
      </c>
      <c r="O36" s="6">
        <v>16.86</v>
      </c>
      <c r="P36" s="6">
        <v>0.8</v>
      </c>
      <c r="Q36" s="6">
        <v>2.0369999999999999</v>
      </c>
      <c r="R36" s="6">
        <v>16.614000000000001</v>
      </c>
      <c r="S36" s="72">
        <v>15.625999999999999</v>
      </c>
    </row>
    <row r="37" spans="1:20" x14ac:dyDescent="0.3">
      <c r="A37" s="71" t="s">
        <v>54</v>
      </c>
      <c r="B37" s="6">
        <v>223.11</v>
      </c>
      <c r="C37" s="6">
        <v>300.2</v>
      </c>
      <c r="D37" s="6">
        <v>400.57</v>
      </c>
      <c r="E37" s="6">
        <v>429.32</v>
      </c>
      <c r="F37" s="6">
        <v>900.07</v>
      </c>
      <c r="G37" s="6">
        <v>738.57</v>
      </c>
      <c r="H37" s="6">
        <v>878.62800000000004</v>
      </c>
      <c r="I37" s="72">
        <f>H42</f>
        <v>1418.4030000000002</v>
      </c>
      <c r="K37" s="85" t="s">
        <v>12</v>
      </c>
      <c r="L37" s="62">
        <v>74.63</v>
      </c>
      <c r="M37" s="62">
        <v>64.89</v>
      </c>
      <c r="N37" s="62">
        <v>120.04</v>
      </c>
      <c r="O37" s="62">
        <v>78.78</v>
      </c>
      <c r="P37" s="62">
        <v>199.67</v>
      </c>
      <c r="Q37">
        <v>248.97200000000001</v>
      </c>
      <c r="R37">
        <v>178.58099999999999</v>
      </c>
      <c r="S37" s="86">
        <v>321.80200000000002</v>
      </c>
    </row>
    <row r="38" spans="1:20" x14ac:dyDescent="0.3">
      <c r="A38" s="85" t="s">
        <v>55</v>
      </c>
      <c r="B38" s="6">
        <v>301.91000000000003</v>
      </c>
      <c r="C38" s="6">
        <v>265.63</v>
      </c>
      <c r="D38" s="6">
        <v>560.95000000000005</v>
      </c>
      <c r="E38" s="6">
        <v>697.76</v>
      </c>
      <c r="F38" s="6">
        <v>701.17</v>
      </c>
      <c r="G38" s="6">
        <v>841.04</v>
      </c>
      <c r="H38" s="6">
        <v>1166.9000000000001</v>
      </c>
      <c r="I38" s="72">
        <v>292.96699999999998</v>
      </c>
      <c r="K38" s="71" t="s">
        <v>141</v>
      </c>
      <c r="L38" s="6">
        <v>2.2400000000000002</v>
      </c>
      <c r="M38" s="6">
        <v>13.77</v>
      </c>
      <c r="N38" s="6">
        <v>18.78</v>
      </c>
      <c r="O38" s="6">
        <v>16.510000000000002</v>
      </c>
      <c r="P38" s="6">
        <v>14.91</v>
      </c>
      <c r="Q38" s="6">
        <v>32.991999999999997</v>
      </c>
      <c r="R38" s="6">
        <v>39.823999999999998</v>
      </c>
      <c r="S38" s="72">
        <v>88.590999999999994</v>
      </c>
    </row>
    <row r="39" spans="1:20" x14ac:dyDescent="0.3">
      <c r="A39" s="85" t="s">
        <v>56</v>
      </c>
      <c r="B39" s="6">
        <v>-144.41999999999999</v>
      </c>
      <c r="C39" s="6">
        <v>-21.48</v>
      </c>
      <c r="D39" s="6">
        <v>-256.10000000000002</v>
      </c>
      <c r="E39" s="6">
        <v>-114.52</v>
      </c>
      <c r="F39" s="6">
        <v>-627.02</v>
      </c>
      <c r="G39" s="6">
        <f>-593.606</f>
        <v>-593.60599999999999</v>
      </c>
      <c r="H39" s="6">
        <v>-637.67999999999995</v>
      </c>
      <c r="I39" s="72">
        <v>-769.20699999999999</v>
      </c>
      <c r="J39" s="2"/>
      <c r="K39" s="71" t="s">
        <v>19</v>
      </c>
      <c r="L39" s="4">
        <v>136.84</v>
      </c>
      <c r="M39" s="4">
        <v>198</v>
      </c>
      <c r="N39" s="4">
        <v>170.24</v>
      </c>
      <c r="O39" s="4">
        <v>149.35</v>
      </c>
      <c r="P39" s="4">
        <v>187.22</v>
      </c>
      <c r="Q39" s="6">
        <v>280.48099999999999</v>
      </c>
      <c r="R39" s="6">
        <v>253.524</v>
      </c>
      <c r="S39" s="72">
        <v>254.00899999999999</v>
      </c>
    </row>
    <row r="40" spans="1:20" x14ac:dyDescent="0.3">
      <c r="A40" s="85" t="s">
        <v>57</v>
      </c>
      <c r="B40" s="6">
        <v>-80.400000000000006</v>
      </c>
      <c r="C40" s="6">
        <v>-143.78</v>
      </c>
      <c r="D40" s="6">
        <v>-276.10000000000002</v>
      </c>
      <c r="E40" s="6">
        <v>-112.5</v>
      </c>
      <c r="F40" s="6">
        <v>-235.63</v>
      </c>
      <c r="G40" s="6">
        <v>-107.373</v>
      </c>
      <c r="H40" s="6">
        <v>10.555</v>
      </c>
      <c r="I40" s="72">
        <v>253.24100000000001</v>
      </c>
      <c r="J40" s="56"/>
      <c r="K40" s="87" t="s">
        <v>14</v>
      </c>
      <c r="L40" s="10">
        <f>SUM(L32:L39)</f>
        <v>1100.2</v>
      </c>
      <c r="M40" s="10">
        <f t="shared" ref="M40:N40" si="26">SUM(M32:M39)</f>
        <v>1327.37</v>
      </c>
      <c r="N40" s="10">
        <f t="shared" si="26"/>
        <v>1470.09</v>
      </c>
      <c r="O40" s="10">
        <f>SUM(O32:O39)</f>
        <v>1910.0899999999997</v>
      </c>
      <c r="P40" s="10">
        <f>SUM(P32:P39)</f>
        <v>2517.96</v>
      </c>
      <c r="Q40" s="13">
        <f>SUM(Q32:Q39)</f>
        <v>3254.6190000000006</v>
      </c>
      <c r="R40" s="13">
        <f>SUM(R32:R39)</f>
        <v>4178.3959999999997</v>
      </c>
      <c r="S40" s="88">
        <f>SUM(S32:S39)</f>
        <v>4154.3310000000001</v>
      </c>
    </row>
    <row r="41" spans="1:20" x14ac:dyDescent="0.3">
      <c r="A41" s="101" t="s">
        <v>58</v>
      </c>
      <c r="B41" s="102">
        <f t="shared" ref="B41" si="27">SUM(B38:B40)</f>
        <v>77.090000000000032</v>
      </c>
      <c r="C41" s="102">
        <f t="shared" ref="C41" si="28">SUM(C38:C40)</f>
        <v>100.37</v>
      </c>
      <c r="D41" s="102">
        <f t="shared" ref="D41" si="29">SUM(D38:D40)</f>
        <v>28.75</v>
      </c>
      <c r="E41" s="102">
        <f t="shared" ref="E41" si="30">SUM(E38:E40)</f>
        <v>470.74</v>
      </c>
      <c r="F41" s="102">
        <f>SUM(F38:F40)</f>
        <v>-161.48000000000002</v>
      </c>
      <c r="G41" s="102">
        <f>SUM(G38:G40)</f>
        <v>140.06099999999998</v>
      </c>
      <c r="H41" s="102">
        <f>SUM(H38:H40)</f>
        <v>539.77500000000009</v>
      </c>
      <c r="I41" s="111">
        <f>SUM(I38:I40)</f>
        <v>-222.999</v>
      </c>
      <c r="J41" s="56"/>
      <c r="K41" s="71"/>
      <c r="L41" s="6"/>
      <c r="M41" s="6"/>
      <c r="N41" s="6"/>
      <c r="O41" s="6"/>
      <c r="P41" s="6"/>
      <c r="Q41" s="6"/>
      <c r="R41" s="6"/>
      <c r="S41" s="72"/>
    </row>
    <row r="42" spans="1:20" x14ac:dyDescent="0.3">
      <c r="A42" s="80" t="s">
        <v>59</v>
      </c>
      <c r="B42" s="66">
        <f t="shared" ref="B42" si="31">B37+B41</f>
        <v>300.20000000000005</v>
      </c>
      <c r="C42" s="66">
        <f t="shared" ref="C42:H42" si="32">C37+C41</f>
        <v>400.57</v>
      </c>
      <c r="D42" s="66">
        <f t="shared" si="32"/>
        <v>429.32</v>
      </c>
      <c r="E42" s="66">
        <f t="shared" si="32"/>
        <v>900.06</v>
      </c>
      <c r="F42" s="66">
        <f t="shared" si="32"/>
        <v>738.59</v>
      </c>
      <c r="G42" s="66">
        <f t="shared" si="32"/>
        <v>878.63100000000009</v>
      </c>
      <c r="H42" s="66">
        <f t="shared" si="32"/>
        <v>1418.4030000000002</v>
      </c>
      <c r="I42" s="82">
        <f t="shared" ref="I42" si="33">I37+I41</f>
        <v>1195.4040000000002</v>
      </c>
      <c r="J42" s="61"/>
      <c r="K42" s="84" t="s">
        <v>20</v>
      </c>
      <c r="L42" s="6"/>
      <c r="M42" s="6"/>
      <c r="N42" s="6"/>
      <c r="O42" s="6"/>
      <c r="P42" s="6"/>
      <c r="Q42" s="6"/>
      <c r="R42" s="6"/>
      <c r="S42" s="72"/>
    </row>
    <row r="43" spans="1:20" x14ac:dyDescent="0.3">
      <c r="A43" s="71"/>
      <c r="I43" s="86"/>
      <c r="J43" s="2"/>
      <c r="K43" s="71" t="s">
        <v>21</v>
      </c>
      <c r="L43" s="6">
        <v>286.26</v>
      </c>
      <c r="M43" s="6">
        <v>243.22</v>
      </c>
      <c r="N43" s="6">
        <v>229.48</v>
      </c>
      <c r="O43" s="6">
        <v>270.48</v>
      </c>
      <c r="P43" s="6">
        <v>295.11</v>
      </c>
      <c r="Q43" s="6">
        <v>256.78899999999999</v>
      </c>
      <c r="R43" s="6">
        <v>358.55</v>
      </c>
      <c r="S43" s="72">
        <f>16.299+224.564</f>
        <v>240.863</v>
      </c>
    </row>
    <row r="44" spans="1:20" x14ac:dyDescent="0.3">
      <c r="A44" s="100" t="s">
        <v>60</v>
      </c>
      <c r="B44" s="124" t="s">
        <v>33</v>
      </c>
      <c r="C44" s="124" t="s">
        <v>1</v>
      </c>
      <c r="D44" s="124" t="s">
        <v>2</v>
      </c>
      <c r="E44" s="124" t="s">
        <v>48</v>
      </c>
      <c r="F44" s="124" t="s">
        <v>133</v>
      </c>
      <c r="G44" s="124" t="s">
        <v>135</v>
      </c>
      <c r="H44" s="124" t="s">
        <v>148</v>
      </c>
      <c r="I44" s="105" t="s">
        <v>151</v>
      </c>
      <c r="K44" s="71" t="s">
        <v>145</v>
      </c>
      <c r="L44" s="6">
        <v>0</v>
      </c>
      <c r="M44" s="6">
        <v>0</v>
      </c>
      <c r="N44" s="6">
        <v>0</v>
      </c>
      <c r="O44" s="6">
        <v>34.47</v>
      </c>
      <c r="P44" s="6">
        <v>47.2</v>
      </c>
      <c r="Q44" s="6">
        <v>54.37</v>
      </c>
      <c r="R44" s="6">
        <v>56.154000000000003</v>
      </c>
      <c r="S44" s="72">
        <v>70.819999999999993</v>
      </c>
    </row>
    <row r="45" spans="1:20" x14ac:dyDescent="0.3">
      <c r="A45" s="71" t="s">
        <v>61</v>
      </c>
      <c r="B45" s="6">
        <f t="shared" ref="B45" si="34">B38</f>
        <v>301.91000000000003</v>
      </c>
      <c r="C45" s="6">
        <f t="shared" ref="C45:H45" si="35">C38</f>
        <v>265.63</v>
      </c>
      <c r="D45" s="6">
        <f t="shared" si="35"/>
        <v>560.95000000000005</v>
      </c>
      <c r="E45" s="6">
        <f t="shared" si="35"/>
        <v>697.76</v>
      </c>
      <c r="F45" s="6">
        <f t="shared" si="35"/>
        <v>701.17</v>
      </c>
      <c r="G45" s="6">
        <f t="shared" si="35"/>
        <v>841.04</v>
      </c>
      <c r="H45" s="6">
        <f t="shared" si="35"/>
        <v>1166.9000000000001</v>
      </c>
      <c r="I45" s="72">
        <f t="shared" ref="I45" si="36">I38</f>
        <v>292.96699999999998</v>
      </c>
      <c r="K45" s="71" t="s">
        <v>31</v>
      </c>
      <c r="L45" s="6">
        <v>76.290000000000006</v>
      </c>
      <c r="M45" s="6">
        <v>39.14</v>
      </c>
      <c r="N45" s="6">
        <v>87</v>
      </c>
      <c r="O45" s="6">
        <v>90.58</v>
      </c>
      <c r="P45" s="6">
        <v>70.37</v>
      </c>
      <c r="Q45" s="6">
        <v>153.488</v>
      </c>
      <c r="R45" s="6">
        <v>483.49400000000003</v>
      </c>
      <c r="S45" s="72">
        <v>712.11300000000006</v>
      </c>
    </row>
    <row r="46" spans="1:20" x14ac:dyDescent="0.3">
      <c r="A46" s="73" t="s">
        <v>62</v>
      </c>
      <c r="B46" s="74">
        <v>-18.27</v>
      </c>
      <c r="C46" s="74">
        <v>-16.61</v>
      </c>
      <c r="D46" s="74">
        <v>-136.29</v>
      </c>
      <c r="E46" s="74">
        <f>-(69.72)</f>
        <v>-69.72</v>
      </c>
      <c r="F46" s="74">
        <v>-193.61</v>
      </c>
      <c r="G46" s="74">
        <v>-69.709999999999994</v>
      </c>
      <c r="H46" s="74">
        <v>-16.09</v>
      </c>
      <c r="I46" s="75">
        <v>-33.023000000000003</v>
      </c>
      <c r="K46" s="71" t="s">
        <v>32</v>
      </c>
      <c r="L46" s="6">
        <v>203.23</v>
      </c>
      <c r="M46" s="6">
        <v>261.67</v>
      </c>
      <c r="N46" s="6">
        <v>295.25</v>
      </c>
      <c r="O46" s="6">
        <v>305.14999999999998</v>
      </c>
      <c r="P46" s="6">
        <v>678.65</v>
      </c>
      <c r="Q46" s="6">
        <v>857.63199999999995</v>
      </c>
      <c r="R46" s="6">
        <v>1156.5930000000001</v>
      </c>
      <c r="S46" s="72">
        <v>1012.871</v>
      </c>
      <c r="T46" s="65"/>
    </row>
    <row r="47" spans="1:20" ht="15" thickBot="1" x14ac:dyDescent="0.35">
      <c r="A47" s="90" t="s">
        <v>63</v>
      </c>
      <c r="B47" s="91">
        <f t="shared" ref="B47" si="37">SUM(B45:B46)</f>
        <v>283.64000000000004</v>
      </c>
      <c r="C47" s="91">
        <f t="shared" ref="C47:H47" si="38">SUM(C45:C46)</f>
        <v>249.01999999999998</v>
      </c>
      <c r="D47" s="91">
        <f t="shared" si="38"/>
        <v>424.66000000000008</v>
      </c>
      <c r="E47" s="91">
        <f t="shared" si="38"/>
        <v>628.04</v>
      </c>
      <c r="F47" s="91">
        <f t="shared" si="38"/>
        <v>507.55999999999995</v>
      </c>
      <c r="G47" s="91">
        <f t="shared" si="38"/>
        <v>771.32999999999993</v>
      </c>
      <c r="H47" s="91">
        <f t="shared" si="38"/>
        <v>1150.8100000000002</v>
      </c>
      <c r="I47" s="92">
        <f t="shared" ref="I47" si="39">SUM(I45:I46)</f>
        <v>259.94399999999996</v>
      </c>
      <c r="K47" s="71" t="s">
        <v>30</v>
      </c>
      <c r="L47" s="6">
        <v>10</v>
      </c>
      <c r="M47" s="6">
        <v>12.65</v>
      </c>
      <c r="N47" s="6">
        <v>16.05</v>
      </c>
      <c r="O47" s="6">
        <v>53.81</v>
      </c>
      <c r="P47" s="6">
        <v>68.19</v>
      </c>
      <c r="Q47" s="6">
        <v>89.403000000000006</v>
      </c>
      <c r="R47" s="6">
        <v>93.701999999999998</v>
      </c>
      <c r="S47" s="72">
        <v>99.388999999999996</v>
      </c>
    </row>
    <row r="48" spans="1:20" ht="15" thickBot="1" x14ac:dyDescent="0.35">
      <c r="A48" s="71"/>
      <c r="I48" s="86"/>
      <c r="K48" s="71" t="s">
        <v>22</v>
      </c>
      <c r="L48" s="104">
        <v>0</v>
      </c>
      <c r="M48" s="10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106">
        <v>0</v>
      </c>
    </row>
    <row r="49" spans="1:21" x14ac:dyDescent="0.3">
      <c r="A49" s="68" t="s">
        <v>60</v>
      </c>
      <c r="B49" s="69" t="s">
        <v>33</v>
      </c>
      <c r="C49" s="69" t="s">
        <v>1</v>
      </c>
      <c r="D49" s="69" t="s">
        <v>2</v>
      </c>
      <c r="E49" s="69" t="s">
        <v>48</v>
      </c>
      <c r="F49" s="69" t="s">
        <v>133</v>
      </c>
      <c r="G49" s="69" t="s">
        <v>135</v>
      </c>
      <c r="H49" s="69" t="s">
        <v>148</v>
      </c>
      <c r="I49" s="70" t="s">
        <v>151</v>
      </c>
      <c r="K49" s="80" t="s">
        <v>20</v>
      </c>
      <c r="L49" s="10">
        <f>SUM(L43:L48)</f>
        <v>575.78</v>
      </c>
      <c r="M49" s="10">
        <f t="shared" ref="M49:P49" si="40">SUM(M43:M48)</f>
        <v>556.67999999999995</v>
      </c>
      <c r="N49" s="10">
        <f t="shared" si="40"/>
        <v>627.78</v>
      </c>
      <c r="O49" s="10">
        <f t="shared" si="40"/>
        <v>754.49</v>
      </c>
      <c r="P49" s="10">
        <f t="shared" si="40"/>
        <v>1159.52</v>
      </c>
      <c r="Q49" s="13">
        <f>SUM(Q43:Q48)</f>
        <v>1411.682</v>
      </c>
      <c r="R49" s="13">
        <f>SUM(R43:R48)</f>
        <v>2148.4930000000004</v>
      </c>
      <c r="S49" s="88">
        <f>SUM(S43:S48)</f>
        <v>2136.056</v>
      </c>
      <c r="U49" s="65"/>
    </row>
    <row r="50" spans="1:21" x14ac:dyDescent="0.3">
      <c r="A50" s="71" t="s">
        <v>100</v>
      </c>
      <c r="B50" s="6">
        <v>10.47</v>
      </c>
      <c r="C50" s="6">
        <v>10.47</v>
      </c>
      <c r="D50" s="6">
        <v>10.47</v>
      </c>
      <c r="E50" s="6">
        <v>10.49</v>
      </c>
      <c r="F50" s="6">
        <v>10.54</v>
      </c>
      <c r="G50" s="6">
        <v>105.69</v>
      </c>
      <c r="H50" s="6">
        <f>106041000/1000000</f>
        <v>106.041</v>
      </c>
      <c r="I50" s="72">
        <f>132551250/10^6</f>
        <v>132.55125000000001</v>
      </c>
      <c r="K50" s="80" t="s">
        <v>23</v>
      </c>
      <c r="L50" s="66">
        <f>L40-L49-L9</f>
        <v>480.23000000000008</v>
      </c>
      <c r="M50" s="66">
        <f t="shared" ref="M50:R50" si="41">M40-M49-M9</f>
        <v>696.78</v>
      </c>
      <c r="N50" s="66">
        <f t="shared" si="41"/>
        <v>833.77</v>
      </c>
      <c r="O50" s="66">
        <f t="shared" si="41"/>
        <v>1155.5999999999997</v>
      </c>
      <c r="P50" s="66">
        <f t="shared" si="41"/>
        <v>1356.8200000000002</v>
      </c>
      <c r="Q50" s="66">
        <f t="shared" si="41"/>
        <v>1842.9370000000006</v>
      </c>
      <c r="R50" s="66">
        <f t="shared" si="41"/>
        <v>2019.0689999999993</v>
      </c>
      <c r="S50" s="82">
        <f t="shared" ref="S50" si="42">S40-S49-S9</f>
        <v>1959.7160000000001</v>
      </c>
    </row>
    <row r="51" spans="1:21" x14ac:dyDescent="0.3">
      <c r="A51" s="71" t="s">
        <v>101</v>
      </c>
      <c r="B51" s="6">
        <v>10</v>
      </c>
      <c r="C51" s="6">
        <v>10</v>
      </c>
      <c r="D51" s="6">
        <v>10</v>
      </c>
      <c r="E51" s="6">
        <v>10</v>
      </c>
      <c r="F51" s="6">
        <v>10</v>
      </c>
      <c r="G51" s="6">
        <v>1</v>
      </c>
      <c r="H51" s="6">
        <v>1</v>
      </c>
      <c r="I51" s="72">
        <v>1</v>
      </c>
      <c r="K51" s="83" t="s">
        <v>142</v>
      </c>
      <c r="L51" s="6"/>
      <c r="M51" s="6"/>
      <c r="N51" s="6"/>
      <c r="O51" s="6"/>
      <c r="P51" s="6"/>
      <c r="Q51" s="6"/>
      <c r="R51" s="6"/>
      <c r="S51" s="72"/>
    </row>
    <row r="52" spans="1:21" x14ac:dyDescent="0.3">
      <c r="A52" s="73" t="s">
        <v>67</v>
      </c>
      <c r="B52" s="74">
        <f>B50*L62</f>
        <v>2321.1990000000001</v>
      </c>
      <c r="C52" s="74">
        <f t="shared" ref="C52:H52" si="43">C50*M62</f>
        <v>2941.5464999999999</v>
      </c>
      <c r="D52" s="74">
        <f t="shared" si="43"/>
        <v>1412.9265</v>
      </c>
      <c r="E52" s="74">
        <f t="shared" si="43"/>
        <v>3780.596</v>
      </c>
      <c r="F52" s="74">
        <f t="shared" si="43"/>
        <v>9435.9349999999995</v>
      </c>
      <c r="G52" s="74">
        <f t="shared" si="43"/>
        <v>15314.481</v>
      </c>
      <c r="H52" s="74">
        <f t="shared" si="43"/>
        <v>27019.246800000001</v>
      </c>
      <c r="I52" s="75">
        <f>I50*S62</f>
        <v>28485.263625000003</v>
      </c>
      <c r="K52" s="71" t="s">
        <v>31</v>
      </c>
      <c r="L52" s="6">
        <v>60.93</v>
      </c>
      <c r="M52" s="6">
        <v>6.93</v>
      </c>
      <c r="N52" s="6">
        <v>38.47</v>
      </c>
      <c r="O52" s="6">
        <v>0</v>
      </c>
      <c r="P52" s="6">
        <v>48.83</v>
      </c>
      <c r="Q52" s="6">
        <v>40.883000000000003</v>
      </c>
      <c r="R52" s="6">
        <v>302.37200000000001</v>
      </c>
      <c r="S52" s="72">
        <v>297.053</v>
      </c>
    </row>
    <row r="53" spans="1:21" x14ac:dyDescent="0.3">
      <c r="A53" s="73" t="s">
        <v>65</v>
      </c>
      <c r="B53" s="74">
        <f t="shared" ref="B53:I53" si="44">L10</f>
        <v>424.68</v>
      </c>
      <c r="C53" s="74">
        <f t="shared" si="44"/>
        <v>389.92999999999995</v>
      </c>
      <c r="D53" s="74">
        <f t="shared" si="44"/>
        <v>255.48999999999998</v>
      </c>
      <c r="E53" s="74">
        <f t="shared" si="44"/>
        <v>200</v>
      </c>
      <c r="F53" s="74">
        <f t="shared" si="44"/>
        <v>40.419999999999995</v>
      </c>
      <c r="G53" s="74">
        <f t="shared" si="44"/>
        <v>0</v>
      </c>
      <c r="H53" s="74">
        <f t="shared" si="44"/>
        <v>83.540999999999997</v>
      </c>
      <c r="I53" s="75">
        <f t="shared" si="44"/>
        <v>364.94200000000001</v>
      </c>
      <c r="K53" s="71" t="s">
        <v>145</v>
      </c>
      <c r="L53" s="6">
        <v>0</v>
      </c>
      <c r="M53" s="6">
        <v>0</v>
      </c>
      <c r="N53" s="6">
        <v>0</v>
      </c>
      <c r="O53" s="6">
        <v>50.68</v>
      </c>
      <c r="P53" s="6">
        <v>119.17</v>
      </c>
      <c r="Q53" s="6">
        <v>80.897999999999996</v>
      </c>
      <c r="R53" s="6">
        <v>123.773</v>
      </c>
      <c r="S53" s="72">
        <v>96.256</v>
      </c>
    </row>
    <row r="54" spans="1:21" x14ac:dyDescent="0.3">
      <c r="A54" s="73" t="s">
        <v>66</v>
      </c>
      <c r="B54" s="74">
        <f>L34+L35</f>
        <v>300.2</v>
      </c>
      <c r="C54" s="74">
        <f t="shared" ref="C54:I54" si="45">M34+M35</f>
        <v>400.57</v>
      </c>
      <c r="D54" s="74">
        <f t="shared" si="45"/>
        <v>429.33</v>
      </c>
      <c r="E54" s="74">
        <f t="shared" si="45"/>
        <v>900.06</v>
      </c>
      <c r="F54" s="74">
        <f t="shared" si="45"/>
        <v>948.47</v>
      </c>
      <c r="G54" s="74">
        <f t="shared" si="45"/>
        <v>1435.6130000000001</v>
      </c>
      <c r="H54" s="74">
        <f t="shared" si="45"/>
        <v>1925.213</v>
      </c>
      <c r="I54" s="75">
        <f t="shared" si="45"/>
        <v>1749.306</v>
      </c>
      <c r="K54" s="71" t="s">
        <v>146</v>
      </c>
      <c r="L54" s="6"/>
      <c r="M54" s="6"/>
      <c r="N54" s="6"/>
      <c r="O54" s="6"/>
      <c r="P54" s="99" t="s">
        <v>147</v>
      </c>
      <c r="Q54" s="99" t="s">
        <v>147</v>
      </c>
      <c r="R54" s="99" t="s">
        <v>147</v>
      </c>
      <c r="S54" s="132">
        <v>87.137</v>
      </c>
    </row>
    <row r="55" spans="1:21" ht="15" thickBot="1" x14ac:dyDescent="0.35">
      <c r="A55" s="90" t="s">
        <v>68</v>
      </c>
      <c r="B55" s="91">
        <f>SUM(B52:B53)-B54</f>
        <v>2445.6790000000001</v>
      </c>
      <c r="C55" s="91">
        <f t="shared" ref="C55:F55" si="46">SUM(C52:C53)-C54</f>
        <v>2930.9064999999996</v>
      </c>
      <c r="D55" s="91">
        <f t="shared" si="46"/>
        <v>1239.0865000000001</v>
      </c>
      <c r="E55" s="91">
        <f t="shared" si="46"/>
        <v>3080.5360000000001</v>
      </c>
      <c r="F55" s="91">
        <f t="shared" si="46"/>
        <v>8527.8850000000002</v>
      </c>
      <c r="G55" s="91">
        <f>SUM(G52:G53)-G54</f>
        <v>13878.868</v>
      </c>
      <c r="H55" s="91">
        <f>SUM(H52:H53)-H54</f>
        <v>25177.574800000002</v>
      </c>
      <c r="I55" s="92">
        <f>SUM(I52:I53)-I54</f>
        <v>27100.899625000002</v>
      </c>
      <c r="K55" s="71" t="s">
        <v>30</v>
      </c>
      <c r="L55" s="6">
        <v>26.42</v>
      </c>
      <c r="M55" s="6">
        <v>29.86</v>
      </c>
      <c r="N55" s="6">
        <v>50.12</v>
      </c>
      <c r="O55" s="6">
        <v>54.1</v>
      </c>
      <c r="P55" s="6">
        <v>62.48</v>
      </c>
      <c r="Q55" s="6">
        <v>101.81699999999999</v>
      </c>
      <c r="R55" s="6">
        <v>151.42699999999999</v>
      </c>
      <c r="S55" s="72">
        <v>178.73</v>
      </c>
    </row>
    <row r="56" spans="1:21" x14ac:dyDescent="0.3">
      <c r="A56" s="107"/>
      <c r="B56" s="107"/>
      <c r="C56" s="108"/>
      <c r="D56" s="108"/>
      <c r="E56" s="108"/>
      <c r="F56" s="108"/>
      <c r="G56" s="108"/>
      <c r="H56" s="108"/>
      <c r="I56" s="108"/>
      <c r="K56" s="71"/>
      <c r="L56" s="3">
        <f t="shared" ref="L56:P56" si="47">SUM(L52:L55)</f>
        <v>87.35</v>
      </c>
      <c r="M56" s="3">
        <f t="shared" si="47"/>
        <v>36.79</v>
      </c>
      <c r="N56" s="3">
        <f t="shared" si="47"/>
        <v>88.59</v>
      </c>
      <c r="O56" s="3">
        <f t="shared" si="47"/>
        <v>104.78</v>
      </c>
      <c r="P56" s="3">
        <f t="shared" si="47"/>
        <v>230.48</v>
      </c>
      <c r="Q56" s="3">
        <f>SUM(Q52:Q55)</f>
        <v>223.59800000000001</v>
      </c>
      <c r="R56" s="3">
        <f>SUM(R52:R55)</f>
        <v>577.572</v>
      </c>
      <c r="S56" s="89">
        <f>SUM(S52:S55)</f>
        <v>659.17599999999993</v>
      </c>
    </row>
    <row r="57" spans="1:21" x14ac:dyDescent="0.3">
      <c r="K57" s="71"/>
      <c r="L57" s="5"/>
      <c r="M57" s="5"/>
      <c r="N57" s="5"/>
      <c r="O57" s="5"/>
      <c r="P57" s="5"/>
      <c r="Q57" s="5"/>
      <c r="R57" s="5"/>
      <c r="S57" s="133"/>
    </row>
    <row r="58" spans="1:21" x14ac:dyDescent="0.3">
      <c r="A58" s="14"/>
      <c r="B58" s="14"/>
      <c r="K58" s="80" t="s">
        <v>152</v>
      </c>
      <c r="L58" s="66">
        <f t="shared" ref="L58:Q58" si="48">L6+L10+L49+L56+L7</f>
        <v>2628.84</v>
      </c>
      <c r="M58" s="66">
        <f t="shared" si="48"/>
        <v>2784.9599999999996</v>
      </c>
      <c r="N58" s="66">
        <f t="shared" si="48"/>
        <v>3033.66</v>
      </c>
      <c r="O58" s="66">
        <f t="shared" si="48"/>
        <v>3652.1300000000006</v>
      </c>
      <c r="P58" s="66">
        <f t="shared" si="48"/>
        <v>4615.41</v>
      </c>
      <c r="Q58" s="66">
        <f t="shared" si="48"/>
        <v>5680.6179999999995</v>
      </c>
      <c r="R58" s="66">
        <f>R6+R10+R49+R56+R7</f>
        <v>7863.9000000000005</v>
      </c>
      <c r="S58" s="82">
        <f>S6+S10+S49+S56+S7</f>
        <v>8825.6970000000001</v>
      </c>
    </row>
    <row r="59" spans="1:21" ht="15" thickBot="1" x14ac:dyDescent="0.35">
      <c r="J59" s="86"/>
      <c r="K59" s="90" t="s">
        <v>24</v>
      </c>
      <c r="L59" s="91">
        <f t="shared" ref="L59:R59" si="49">L27+L40</f>
        <v>2628.84</v>
      </c>
      <c r="M59" s="91">
        <f t="shared" si="49"/>
        <v>2784.96</v>
      </c>
      <c r="N59" s="91">
        <f t="shared" si="49"/>
        <v>3033.66</v>
      </c>
      <c r="O59" s="91">
        <f t="shared" si="49"/>
        <v>3652.1299999999997</v>
      </c>
      <c r="P59" s="91">
        <f t="shared" si="49"/>
        <v>4615.41</v>
      </c>
      <c r="Q59" s="91">
        <f t="shared" si="49"/>
        <v>5680.6180000000013</v>
      </c>
      <c r="R59" s="91">
        <f t="shared" si="49"/>
        <v>7863.9009999999989</v>
      </c>
      <c r="S59" s="92">
        <f t="shared" ref="S59" si="50">S27+S40</f>
        <v>8825.6970000000001</v>
      </c>
    </row>
    <row r="60" spans="1:21" ht="15" thickBot="1" x14ac:dyDescent="0.35">
      <c r="O60" s="1"/>
      <c r="P60" s="1"/>
      <c r="Q60" s="1"/>
      <c r="S60" s="86"/>
    </row>
    <row r="61" spans="1:21" x14ac:dyDescent="0.3">
      <c r="K61" s="68" t="s">
        <v>60</v>
      </c>
      <c r="L61" s="69" t="s">
        <v>33</v>
      </c>
      <c r="M61" s="69" t="s">
        <v>1</v>
      </c>
      <c r="N61" s="69" t="s">
        <v>2</v>
      </c>
      <c r="O61" s="69" t="s">
        <v>48</v>
      </c>
      <c r="P61" s="69" t="s">
        <v>133</v>
      </c>
      <c r="Q61" s="69" t="s">
        <v>135</v>
      </c>
      <c r="R61" s="69" t="s">
        <v>148</v>
      </c>
      <c r="S61" s="70" t="s">
        <v>155</v>
      </c>
    </row>
    <row r="62" spans="1:21" x14ac:dyDescent="0.3">
      <c r="K62" s="71" t="s">
        <v>69</v>
      </c>
      <c r="L62" s="6">
        <v>221.7</v>
      </c>
      <c r="M62" s="6">
        <v>280.95</v>
      </c>
      <c r="N62" s="6">
        <v>134.94999999999999</v>
      </c>
      <c r="O62" s="6">
        <v>360.4</v>
      </c>
      <c r="P62" s="6">
        <v>895.25</v>
      </c>
      <c r="Q62" s="62">
        <v>144.9</v>
      </c>
      <c r="R62" s="62">
        <v>254.8</v>
      </c>
      <c r="S62" s="117">
        <v>214.9</v>
      </c>
    </row>
    <row r="63" spans="1:21" x14ac:dyDescent="0.3">
      <c r="K63" s="73" t="s">
        <v>70</v>
      </c>
      <c r="L63" s="74">
        <f t="shared" ref="L63:R63" si="51">B32</f>
        <v>16.559999999999999</v>
      </c>
      <c r="M63" s="74">
        <f t="shared" si="51"/>
        <v>2.7736000000000001</v>
      </c>
      <c r="N63" s="74">
        <f t="shared" si="51"/>
        <v>2.9336000000000002</v>
      </c>
      <c r="O63" s="74">
        <f t="shared" si="51"/>
        <v>3.4016000000000002</v>
      </c>
      <c r="P63" s="74">
        <f t="shared" si="51"/>
        <v>4.6631999999999998</v>
      </c>
      <c r="Q63" s="74">
        <f t="shared" si="51"/>
        <v>6.0240000000000009</v>
      </c>
      <c r="R63" s="74">
        <f t="shared" si="51"/>
        <v>7.66</v>
      </c>
      <c r="S63" s="130">
        <f>R63+I32-3.89</f>
        <v>9.9699999999999989</v>
      </c>
    </row>
    <row r="64" spans="1:21" x14ac:dyDescent="0.3">
      <c r="K64" s="73" t="s">
        <v>71</v>
      </c>
      <c r="L64" s="74">
        <f t="shared" ref="L64:R64" si="52">L6/B50</f>
        <v>141.37249283667623</v>
      </c>
      <c r="M64" s="74">
        <f t="shared" si="52"/>
        <v>167.46704871060172</v>
      </c>
      <c r="N64" s="74">
        <f t="shared" si="52"/>
        <v>196.9245463228271</v>
      </c>
      <c r="O64" s="74">
        <f t="shared" si="52"/>
        <v>247.17445185891324</v>
      </c>
      <c r="P64" s="74">
        <f t="shared" si="52"/>
        <v>302.18121442125243</v>
      </c>
      <c r="Q64" s="74">
        <f t="shared" si="52"/>
        <v>38.275503831961394</v>
      </c>
      <c r="R64" s="74">
        <f t="shared" si="52"/>
        <v>47.663582953763168</v>
      </c>
      <c r="S64" s="132" t="s">
        <v>153</v>
      </c>
    </row>
    <row r="65" spans="11:19" x14ac:dyDescent="0.3">
      <c r="K65" s="71" t="s">
        <v>72</v>
      </c>
      <c r="L65" s="6">
        <v>3.5</v>
      </c>
      <c r="M65" s="6">
        <v>4</v>
      </c>
      <c r="N65" s="6">
        <v>4.5</v>
      </c>
      <c r="O65" s="6">
        <v>5</v>
      </c>
      <c r="P65" s="6">
        <v>6</v>
      </c>
      <c r="Q65" s="6">
        <v>0.7</v>
      </c>
      <c r="R65" s="6">
        <v>0.4</v>
      </c>
      <c r="S65" s="132" t="s">
        <v>153</v>
      </c>
    </row>
    <row r="66" spans="11:19" x14ac:dyDescent="0.3">
      <c r="K66" s="73" t="s">
        <v>73</v>
      </c>
      <c r="L66" s="74">
        <f>L62/L63</f>
        <v>13.387681159420291</v>
      </c>
      <c r="M66" s="74">
        <f t="shared" ref="M66:P66" si="53">M62/M63</f>
        <v>101.29434669743293</v>
      </c>
      <c r="N66" s="74">
        <f t="shared" si="53"/>
        <v>46.001499863648753</v>
      </c>
      <c r="O66" s="74">
        <f t="shared" si="53"/>
        <v>105.95014111006584</v>
      </c>
      <c r="P66" s="74">
        <f t="shared" si="53"/>
        <v>191.98190084062446</v>
      </c>
      <c r="Q66" s="74">
        <f>Q62/Q63</f>
        <v>24.053784860557766</v>
      </c>
      <c r="R66" s="74">
        <f>R62/R63</f>
        <v>33.263707571801568</v>
      </c>
      <c r="S66" s="130">
        <f>S62/S63</f>
        <v>21.554663991975932</v>
      </c>
    </row>
    <row r="67" spans="11:19" x14ac:dyDescent="0.3">
      <c r="K67" s="73" t="s">
        <v>74</v>
      </c>
      <c r="L67" s="74">
        <f>L62/L64</f>
        <v>1.5681975719005248</v>
      </c>
      <c r="M67" s="74">
        <f t="shared" ref="M67:P67" si="54">M62/M64</f>
        <v>1.6776434657632686</v>
      </c>
      <c r="N67" s="74">
        <f t="shared" si="54"/>
        <v>0.68528785527209235</v>
      </c>
      <c r="O67" s="74">
        <f t="shared" si="54"/>
        <v>1.4580794952292062</v>
      </c>
      <c r="P67" s="74">
        <f t="shared" si="54"/>
        <v>2.9626262562833787</v>
      </c>
      <c r="Q67" s="74">
        <f>Q62/Q64</f>
        <v>3.7857111074525789</v>
      </c>
      <c r="R67" s="74">
        <f>R62/R64</f>
        <v>5.3458003828032163</v>
      </c>
      <c r="S67" s="132" t="s">
        <v>153</v>
      </c>
    </row>
    <row r="68" spans="11:19" x14ac:dyDescent="0.3">
      <c r="K68" s="73" t="s">
        <v>75</v>
      </c>
      <c r="L68" s="74">
        <f t="shared" ref="L68:Q68" si="55">+B55/B11</f>
        <v>6.1764249816905288</v>
      </c>
      <c r="M68" s="74">
        <f t="shared" si="55"/>
        <v>4.9540355295628995</v>
      </c>
      <c r="N68" s="74">
        <f t="shared" si="55"/>
        <v>2.030423917674435</v>
      </c>
      <c r="O68" s="74">
        <f t="shared" si="55"/>
        <v>4.7824013413233155</v>
      </c>
      <c r="P68" s="74">
        <f t="shared" si="55"/>
        <v>10.791239592033</v>
      </c>
      <c r="Q68" s="74">
        <f t="shared" si="55"/>
        <v>12.832671613997261</v>
      </c>
      <c r="R68" s="74">
        <f>+H55/H11</f>
        <v>18.420198617839912</v>
      </c>
      <c r="S68" s="132" t="s">
        <v>153</v>
      </c>
    </row>
    <row r="69" spans="11:19" x14ac:dyDescent="0.3">
      <c r="K69" s="73" t="s">
        <v>89</v>
      </c>
      <c r="L69" s="74">
        <f t="shared" ref="L69:Q69" si="56">B4/SUM(L17:L20)</f>
        <v>1.9139790705615329</v>
      </c>
      <c r="M69" s="74">
        <f t="shared" si="56"/>
        <v>2.5191196853606885</v>
      </c>
      <c r="N69" s="74">
        <f t="shared" si="56"/>
        <v>2.3765210076240817</v>
      </c>
      <c r="O69" s="74">
        <f t="shared" si="56"/>
        <v>2.4204764324656671</v>
      </c>
      <c r="P69" s="74">
        <f t="shared" si="56"/>
        <v>2.456336789578093</v>
      </c>
      <c r="Q69" s="74">
        <f t="shared" si="56"/>
        <v>3.0493589100439942</v>
      </c>
      <c r="R69" s="74">
        <f>H4/SUM(R17:R20)</f>
        <v>2.1337460417338461</v>
      </c>
      <c r="S69" s="130" t="s">
        <v>153</v>
      </c>
    </row>
    <row r="70" spans="11:19" x14ac:dyDescent="0.3">
      <c r="K70" s="73" t="s">
        <v>76</v>
      </c>
      <c r="L70" s="76">
        <f t="shared" ref="L70:Q70" si="57">B22/L6</f>
        <v>0.16489997770526377</v>
      </c>
      <c r="M70" s="76">
        <f t="shared" si="57"/>
        <v>0.21792195644982795</v>
      </c>
      <c r="N70" s="76">
        <f t="shared" si="57"/>
        <v>0.18747696187797064</v>
      </c>
      <c r="O70" s="76">
        <f t="shared" si="57"/>
        <v>0.17526206582692463</v>
      </c>
      <c r="P70" s="76">
        <f t="shared" si="57"/>
        <v>0.1986254273953765</v>
      </c>
      <c r="Q70" s="76">
        <f t="shared" si="57"/>
        <v>0.20264709648489196</v>
      </c>
      <c r="R70" s="76">
        <f>H22/R6</f>
        <v>0.19027978981832075</v>
      </c>
      <c r="S70" s="134" t="s">
        <v>153</v>
      </c>
    </row>
    <row r="71" spans="11:19" x14ac:dyDescent="0.3">
      <c r="K71" s="73" t="s">
        <v>77</v>
      </c>
      <c r="L71" s="76">
        <f t="shared" ref="L71:R71" si="58">(B19+B17)/L13</f>
        <v>0.19430326501963802</v>
      </c>
      <c r="M71" s="76">
        <f t="shared" si="58"/>
        <v>0.26492199575746012</v>
      </c>
      <c r="N71" s="76">
        <f t="shared" si="58"/>
        <v>0.2404790309259428</v>
      </c>
      <c r="O71" s="76">
        <f t="shared" si="58"/>
        <v>0.21339089741996928</v>
      </c>
      <c r="P71" s="76">
        <f t="shared" si="58"/>
        <v>0.24074840704403541</v>
      </c>
      <c r="Q71" s="76">
        <f t="shared" si="58"/>
        <v>0.25210005490829562</v>
      </c>
      <c r="R71" s="76">
        <f t="shared" si="58"/>
        <v>0.23092823950188726</v>
      </c>
      <c r="S71" s="134" t="s">
        <v>153</v>
      </c>
    </row>
    <row r="72" spans="11:19" x14ac:dyDescent="0.3">
      <c r="K72" s="73" t="s">
        <v>78</v>
      </c>
      <c r="L72" s="74">
        <f t="shared" ref="L72:P72" si="59">L10/L6</f>
        <v>0.2869129897241533</v>
      </c>
      <c r="M72" s="74">
        <f t="shared" si="59"/>
        <v>0.22238761705962196</v>
      </c>
      <c r="N72" s="74">
        <f t="shared" si="59"/>
        <v>0.12391599573188476</v>
      </c>
      <c r="O72" s="74">
        <f t="shared" si="59"/>
        <v>7.7134901228758976E-2</v>
      </c>
      <c r="P72" s="74">
        <f t="shared" si="59"/>
        <v>1.2690777679050795E-2</v>
      </c>
      <c r="Q72" s="74">
        <f t="shared" ref="Q72" si="60">Q10/Q6</f>
        <v>0</v>
      </c>
      <c r="R72" s="74">
        <f>R10/R6</f>
        <v>1.6528717957443709E-2</v>
      </c>
      <c r="S72" s="130" t="s">
        <v>153</v>
      </c>
    </row>
    <row r="73" spans="11:19" x14ac:dyDescent="0.3">
      <c r="K73" s="73" t="s">
        <v>79</v>
      </c>
      <c r="L73" s="74">
        <f t="shared" ref="L73:P73" si="61">(L10-L34-L35)/L6</f>
        <v>8.4098448151225885E-2</v>
      </c>
      <c r="M73" s="74">
        <f t="shared" si="61"/>
        <v>-6.0682795514948517E-3</v>
      </c>
      <c r="N73" s="74">
        <f t="shared" si="61"/>
        <v>-8.4314676496265409E-2</v>
      </c>
      <c r="O73" s="74">
        <f t="shared" si="61"/>
        <v>-0.26999529477102502</v>
      </c>
      <c r="P73" s="74">
        <f t="shared" si="61"/>
        <v>-0.28510293595898262</v>
      </c>
      <c r="Q73" s="74">
        <f>(Q10-Q34-Q35)/Q6</f>
        <v>-0.35488085297198901</v>
      </c>
      <c r="R73" s="74">
        <f>(R10-R34-R35)/R6</f>
        <v>-0.36437769548031834</v>
      </c>
      <c r="S73" s="130" t="s">
        <v>153</v>
      </c>
    </row>
    <row r="74" spans="11:19" x14ac:dyDescent="0.3">
      <c r="K74" s="73" t="s">
        <v>80</v>
      </c>
      <c r="L74" s="77">
        <f t="shared" ref="L74:O74" si="62">L65/L62</f>
        <v>1.5787099684258007E-2</v>
      </c>
      <c r="M74" s="77">
        <f t="shared" si="62"/>
        <v>1.423740879159993E-2</v>
      </c>
      <c r="N74" s="77">
        <f t="shared" si="62"/>
        <v>3.3345683586513526E-2</v>
      </c>
      <c r="O74" s="77">
        <f t="shared" si="62"/>
        <v>1.3873473917869035E-2</v>
      </c>
      <c r="P74" s="77">
        <f>P65/P62</f>
        <v>6.702038536721586E-3</v>
      </c>
      <c r="Q74" s="77">
        <f>Q65/Q62</f>
        <v>4.830917874396135E-3</v>
      </c>
      <c r="R74" s="77">
        <f>R65/R62</f>
        <v>1.5698587127158557E-3</v>
      </c>
      <c r="S74" s="135" t="s">
        <v>153</v>
      </c>
    </row>
    <row r="75" spans="11:19" x14ac:dyDescent="0.3">
      <c r="K75" s="73" t="s">
        <v>81</v>
      </c>
      <c r="L75" s="114">
        <f t="shared" ref="L75:R75" si="63">AVERAGE(K33:L33)/B4*365</f>
        <v>74.604942806170627</v>
      </c>
      <c r="M75" s="114">
        <f t="shared" si="63"/>
        <v>62.891382368138075</v>
      </c>
      <c r="N75" s="114">
        <f t="shared" si="63"/>
        <v>67.383605876565369</v>
      </c>
      <c r="O75" s="114">
        <f t="shared" si="63"/>
        <v>62.398919667087419</v>
      </c>
      <c r="P75" s="114">
        <f t="shared" si="63"/>
        <v>64.80244780717274</v>
      </c>
      <c r="Q75" s="114">
        <f t="shared" si="63"/>
        <v>61.037986550561598</v>
      </c>
      <c r="R75" s="114">
        <f t="shared" si="63"/>
        <v>66.704703624025186</v>
      </c>
      <c r="S75" s="136" t="s">
        <v>153</v>
      </c>
    </row>
    <row r="76" spans="11:19" x14ac:dyDescent="0.3">
      <c r="K76" s="73" t="s">
        <v>82</v>
      </c>
      <c r="L76" s="114">
        <f t="shared" ref="L76:R76" si="64">AVERAGE(K43:L43)/(SUM(B8:B10))*365</f>
        <v>42.426453569818861</v>
      </c>
      <c r="M76" s="114">
        <f t="shared" si="64"/>
        <v>32.330410227413402</v>
      </c>
      <c r="N76" s="114">
        <f t="shared" si="64"/>
        <v>28.972729257275272</v>
      </c>
      <c r="O76" s="114">
        <f t="shared" si="64"/>
        <v>28.389759577837722</v>
      </c>
      <c r="P76" s="114">
        <f t="shared" si="64"/>
        <v>25.714784855158392</v>
      </c>
      <c r="Q76" s="114">
        <f t="shared" si="64"/>
        <v>18.068223974323143</v>
      </c>
      <c r="R76" s="114">
        <f t="shared" si="64"/>
        <v>17.969598005187368</v>
      </c>
      <c r="S76" s="136" t="s">
        <v>153</v>
      </c>
    </row>
    <row r="77" spans="11:19" x14ac:dyDescent="0.3">
      <c r="K77" s="73" t="s">
        <v>84</v>
      </c>
      <c r="L77" s="114">
        <f t="shared" ref="L77" si="65">L75-L76</f>
        <v>32.178489236351766</v>
      </c>
      <c r="M77" s="114">
        <f t="shared" ref="M77:P77" si="66">M75-M76</f>
        <v>30.560972140724672</v>
      </c>
      <c r="N77" s="114">
        <f t="shared" si="66"/>
        <v>38.410876619290093</v>
      </c>
      <c r="O77" s="114">
        <f t="shared" si="66"/>
        <v>34.009160089249697</v>
      </c>
      <c r="P77" s="114">
        <f t="shared" si="66"/>
        <v>39.087662952014348</v>
      </c>
      <c r="Q77" s="114">
        <f>Q75-Q76</f>
        <v>42.969762576238452</v>
      </c>
      <c r="R77" s="114">
        <f>R75-R76</f>
        <v>48.735105618837821</v>
      </c>
      <c r="S77" s="136" t="s">
        <v>153</v>
      </c>
    </row>
    <row r="78" spans="11:19" x14ac:dyDescent="0.3">
      <c r="K78" s="73" t="s">
        <v>85</v>
      </c>
      <c r="L78" s="114">
        <f t="shared" ref="L78:R78" si="67">AVERAGE(K50:L50)/B4*365</f>
        <v>61.315965298912104</v>
      </c>
      <c r="M78" s="114">
        <f t="shared" si="67"/>
        <v>59.993666997165164</v>
      </c>
      <c r="N78" s="114">
        <f t="shared" si="67"/>
        <v>77.854004253291009</v>
      </c>
      <c r="O78" s="114">
        <f t="shared" si="67"/>
        <v>94.104053321997753</v>
      </c>
      <c r="P78" s="114">
        <f t="shared" si="67"/>
        <v>95.438804820681469</v>
      </c>
      <c r="Q78" s="114">
        <f t="shared" si="67"/>
        <v>87.733194587171965</v>
      </c>
      <c r="R78" s="114">
        <f t="shared" si="67"/>
        <v>92.541031648756501</v>
      </c>
      <c r="S78" s="136" t="s">
        <v>153</v>
      </c>
    </row>
    <row r="79" spans="11:19" x14ac:dyDescent="0.3">
      <c r="K79" s="73" t="s">
        <v>86</v>
      </c>
      <c r="L79" s="76">
        <f>B17/L10</f>
        <v>0.12277479513987002</v>
      </c>
      <c r="M79" s="76">
        <f>C17/M10</f>
        <v>0.12320160028723105</v>
      </c>
      <c r="N79" s="76">
        <f>D17/N10</f>
        <v>0.20122118282515949</v>
      </c>
      <c r="O79" s="76">
        <f>E17/O10</f>
        <v>0.17204999999999998</v>
      </c>
      <c r="P79" s="76">
        <f>F17/P10</f>
        <v>0.6870361207323108</v>
      </c>
      <c r="Q79" s="113" t="s">
        <v>147</v>
      </c>
      <c r="R79" s="76">
        <f>H17/R10</f>
        <v>0.42204426568990083</v>
      </c>
      <c r="S79" s="134">
        <f>I17/S10</f>
        <v>0.16507280608973479</v>
      </c>
    </row>
    <row r="80" spans="11:19" ht="15" thickBot="1" x14ac:dyDescent="0.35">
      <c r="K80" s="78" t="s">
        <v>87</v>
      </c>
      <c r="L80" s="79">
        <f t="shared" ref="L80:S80" si="68">(B19+B17)/B17</f>
        <v>7.4861910241657128</v>
      </c>
      <c r="M80" s="79">
        <f t="shared" si="68"/>
        <v>11.880516236469594</v>
      </c>
      <c r="N80" s="79">
        <f t="shared" si="68"/>
        <v>11.213966154444657</v>
      </c>
      <c r="O80" s="79">
        <f t="shared" si="68"/>
        <v>17.969485614646903</v>
      </c>
      <c r="P80" s="79">
        <f t="shared" si="68"/>
        <v>29.946344976593455</v>
      </c>
      <c r="Q80" s="79">
        <f t="shared" si="68"/>
        <v>49.328459458220649</v>
      </c>
      <c r="R80" s="79">
        <f t="shared" si="68"/>
        <v>37.363066538090628</v>
      </c>
      <c r="S80" s="137">
        <f t="shared" si="68"/>
        <v>18.417001427575464</v>
      </c>
    </row>
    <row r="82" spans="11:18" x14ac:dyDescent="0.3">
      <c r="K82" s="115"/>
      <c r="L82" s="115"/>
      <c r="M82" s="115"/>
      <c r="N82" s="115"/>
      <c r="O82" s="115"/>
      <c r="P82" s="115"/>
      <c r="Q82" s="115"/>
      <c r="R82" s="115"/>
    </row>
    <row r="83" spans="11:18" x14ac:dyDescent="0.3">
      <c r="L83" s="2"/>
      <c r="M83" s="2"/>
      <c r="N83" s="2"/>
      <c r="O83" s="1"/>
    </row>
    <row r="84" spans="11:18" x14ac:dyDescent="0.3">
      <c r="L84" s="2"/>
      <c r="M84" s="2"/>
      <c r="N84" s="2"/>
      <c r="O84" s="1"/>
    </row>
  </sheetData>
  <mergeCells count="3">
    <mergeCell ref="A2:I2"/>
    <mergeCell ref="K2:S2"/>
    <mergeCell ref="A1:S1"/>
  </mergeCells>
  <phoneticPr fontId="12" type="noConversion"/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L10:Q10 B41:H4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2021-05-19T08:13:17Z</cp:lastPrinted>
  <dcterms:created xsi:type="dcterms:W3CDTF">2021-01-27T07:46:46Z</dcterms:created>
  <dcterms:modified xsi:type="dcterms:W3CDTF">2025-03-27T06:38:19Z</dcterms:modified>
</cp:coreProperties>
</file>