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Lenovo\Desktop\1\SS\"/>
    </mc:Choice>
  </mc:AlternateContent>
  <xr:revisionPtr revIDLastSave="0" documentId="13_ncr:1_{23A3EADD-F325-4479-BC7F-84B8A30A9764}" xr6:coauthVersionLast="36" xr6:coauthVersionMax="45" xr10:uidLastSave="{00000000-0000-0000-0000-000000000000}"/>
  <bookViews>
    <workbookView xWindow="0" yWindow="0" windowWidth="20490" windowHeight="7545" xr2:uid="{00000000-000D-0000-FFFF-FFFF00000000}"/>
  </bookViews>
  <sheets>
    <sheet name="Summary Sheet" sheetId="1" r:id="rId1"/>
    <sheet name="Sheet1" sheetId="2" r:id="rId2"/>
  </sheets>
  <definedNames>
    <definedName name="_xlnm.Print_Area" localSheetId="0">'Summary Sheet'!$B$2:$R$76</definedName>
  </definedNames>
  <calcPr calcId="191029"/>
  <extLst>
    <ext uri="GoogleSheetsCustomDataVersion1">
      <go:sheetsCustomData xmlns:go="http://customooxmlschemas.google.com/" r:id="rId5" roundtripDataSignature="AMtx7mhILVDmWyLOxoHwGc8obU/cY/8BCw=="/>
    </ext>
  </extLst>
</workbook>
</file>

<file path=xl/calcChain.xml><?xml version="1.0" encoding="utf-8"?>
<calcChain xmlns="http://schemas.openxmlformats.org/spreadsheetml/2006/main">
  <c r="I12" i="1" l="1"/>
  <c r="O13" i="2" l="1"/>
  <c r="R13" i="2" s="1"/>
  <c r="I13" i="2"/>
  <c r="L13" i="2" s="1"/>
  <c r="C13" i="2"/>
  <c r="F13" i="2" s="1"/>
  <c r="O10" i="2"/>
  <c r="Q10" i="2" s="1"/>
  <c r="I10" i="2"/>
  <c r="J10" i="2" s="1"/>
  <c r="C10" i="2"/>
  <c r="E10" i="2" s="1"/>
  <c r="R6" i="2"/>
  <c r="Q6" i="2"/>
  <c r="P6" i="2"/>
  <c r="O6" i="2"/>
  <c r="L6" i="2"/>
  <c r="K6" i="2"/>
  <c r="J6" i="2"/>
  <c r="I6" i="2"/>
  <c r="F6" i="2"/>
  <c r="E6" i="2"/>
  <c r="D6" i="2"/>
  <c r="C6" i="2"/>
  <c r="P4" i="2"/>
  <c r="O4" i="2" s="1"/>
  <c r="J4" i="2"/>
  <c r="I4" i="2" s="1"/>
  <c r="D4" i="2"/>
  <c r="C4" i="2" s="1"/>
  <c r="D10" i="2" l="1"/>
  <c r="K10" i="2"/>
  <c r="P10" i="2"/>
  <c r="E13" i="2"/>
  <c r="K13" i="2"/>
  <c r="Q13" i="2"/>
  <c r="D13" i="2"/>
  <c r="J13" i="2"/>
  <c r="P13" i="2"/>
  <c r="R62" i="1"/>
  <c r="R49" i="1"/>
  <c r="R44" i="1" s="1"/>
  <c r="R11" i="1"/>
  <c r="R23" i="1"/>
  <c r="R5" i="1"/>
  <c r="R13" i="1"/>
  <c r="R19" i="1"/>
  <c r="R31" i="1"/>
  <c r="I57" i="1"/>
  <c r="I59" i="1"/>
  <c r="I51" i="1"/>
  <c r="I53" i="1" s="1"/>
  <c r="I47" i="1"/>
  <c r="R54" i="1" l="1"/>
  <c r="R10" i="1" s="1"/>
  <c r="I58" i="1"/>
  <c r="R9" i="1"/>
  <c r="R28" i="1"/>
  <c r="R29" i="1" s="1"/>
  <c r="R45" i="1"/>
  <c r="I60" i="1"/>
  <c r="I8" i="1"/>
  <c r="Q58" i="1" l="1"/>
  <c r="P58" i="1"/>
  <c r="O58" i="1"/>
  <c r="N58" i="1"/>
  <c r="M58" i="1"/>
  <c r="L58" i="1"/>
  <c r="I13" i="1"/>
  <c r="I21" i="1" l="1"/>
  <c r="I16" i="1"/>
  <c r="H47" i="1"/>
  <c r="E52" i="1"/>
  <c r="G52" i="1"/>
  <c r="H52" i="1"/>
  <c r="I25" i="1" l="1"/>
  <c r="I23" i="1"/>
  <c r="I26" i="1" s="1"/>
  <c r="I27" i="1" s="1"/>
  <c r="H57" i="1"/>
  <c r="F47" i="1"/>
  <c r="P49" i="1"/>
  <c r="Q59" i="1"/>
  <c r="Q70" i="1"/>
  <c r="Q72" i="1"/>
  <c r="Q49" i="1"/>
  <c r="Q23" i="1"/>
  <c r="Q19" i="1" s="1"/>
  <c r="G12" i="1"/>
  <c r="H35" i="1"/>
  <c r="H36" i="1"/>
  <c r="H28" i="1"/>
  <c r="H12" i="1"/>
  <c r="H6" i="1"/>
  <c r="H7" i="1"/>
  <c r="Q69" i="1" l="1"/>
  <c r="I29" i="1"/>
  <c r="I31" i="1" s="1"/>
  <c r="Q62" i="1"/>
  <c r="H8" i="1"/>
  <c r="H13" i="1" l="1"/>
  <c r="Q76" i="1" s="1"/>
  <c r="F52" i="1"/>
  <c r="D52" i="1"/>
  <c r="C52" i="1"/>
  <c r="P31" i="1" l="1"/>
  <c r="P23" i="1" l="1"/>
  <c r="P13" i="1"/>
  <c r="L49" i="1"/>
  <c r="L23" i="1"/>
  <c r="M13" i="1"/>
  <c r="N11" i="1"/>
  <c r="M11" i="1"/>
  <c r="L11" i="1"/>
  <c r="P19" i="1" l="1"/>
  <c r="P28" i="1" s="1"/>
  <c r="Q71" i="1"/>
  <c r="Q73" i="1" s="1"/>
  <c r="M23" i="1"/>
  <c r="M49" i="1"/>
  <c r="H59" i="1" l="1"/>
  <c r="Q44" i="1"/>
  <c r="Q31" i="1"/>
  <c r="Q13" i="1"/>
  <c r="Q11" i="1"/>
  <c r="P11" i="1"/>
  <c r="G58" i="1" s="1"/>
  <c r="O11" i="1"/>
  <c r="H51" i="1"/>
  <c r="H53" i="1" s="1"/>
  <c r="H58" i="1" l="1"/>
  <c r="Q75" i="1"/>
  <c r="H60" i="1"/>
  <c r="Q64" i="1" s="1"/>
  <c r="G57" i="1"/>
  <c r="P70" i="1" l="1"/>
  <c r="M70" i="1"/>
  <c r="Q5" i="1"/>
  <c r="Q45" i="1"/>
  <c r="Q65" i="1" l="1"/>
  <c r="Q60" i="1"/>
  <c r="Q63" i="1" s="1"/>
  <c r="Q67" i="1"/>
  <c r="Q68" i="1"/>
  <c r="Q9" i="1"/>
  <c r="Q28" i="1"/>
  <c r="Q29" i="1" s="1"/>
  <c r="Q54" i="1"/>
  <c r="Q10" i="1" s="1"/>
  <c r="L5" i="1" l="1"/>
  <c r="L60" i="1" s="1"/>
  <c r="M5" i="1"/>
  <c r="M9" i="1" s="1"/>
  <c r="N5" i="1"/>
  <c r="O5" i="1"/>
  <c r="P5" i="1"/>
  <c r="P9" i="1" s="1"/>
  <c r="L13" i="1"/>
  <c r="N13" i="1"/>
  <c r="O13" i="1"/>
  <c r="L19" i="1"/>
  <c r="M19" i="1"/>
  <c r="N19" i="1"/>
  <c r="N28" i="1" s="1"/>
  <c r="O19" i="1"/>
  <c r="O28" i="1" s="1"/>
  <c r="L31" i="1"/>
  <c r="M31" i="1"/>
  <c r="N31" i="1"/>
  <c r="O31" i="1"/>
  <c r="L44" i="1"/>
  <c r="M44" i="1"/>
  <c r="N44" i="1"/>
  <c r="N54" i="1" s="1"/>
  <c r="N10" i="1" s="1"/>
  <c r="O44" i="1"/>
  <c r="P44" i="1"/>
  <c r="D58" i="1"/>
  <c r="E58" i="1"/>
  <c r="F58" i="1"/>
  <c r="L59" i="1"/>
  <c r="L69" i="1" s="1"/>
  <c r="M59" i="1"/>
  <c r="M62" i="1" s="1"/>
  <c r="N59" i="1"/>
  <c r="N62" i="1" s="1"/>
  <c r="O59" i="1"/>
  <c r="O62" i="1" s="1"/>
  <c r="P59" i="1"/>
  <c r="P62" i="1" s="1"/>
  <c r="C8" i="1"/>
  <c r="C13" i="1" s="1"/>
  <c r="C16" i="1" s="1"/>
  <c r="C30" i="1"/>
  <c r="C45" i="1"/>
  <c r="C47" i="1" s="1"/>
  <c r="C48" i="1" s="1"/>
  <c r="D40" i="1" s="1"/>
  <c r="C51" i="1"/>
  <c r="C53" i="1" s="1"/>
  <c r="C57" i="1"/>
  <c r="C59" i="1"/>
  <c r="G36" i="1"/>
  <c r="F36" i="1"/>
  <c r="G7" i="1"/>
  <c r="F7" i="1"/>
  <c r="P72" i="1"/>
  <c r="G47" i="1"/>
  <c r="G35" i="1"/>
  <c r="G6" i="1"/>
  <c r="O72" i="1"/>
  <c r="N72" i="1"/>
  <c r="M72" i="1"/>
  <c r="O70" i="1"/>
  <c r="N70" i="1"/>
  <c r="G59" i="1"/>
  <c r="F59" i="1"/>
  <c r="E59" i="1"/>
  <c r="D59" i="1"/>
  <c r="F57" i="1"/>
  <c r="E57" i="1"/>
  <c r="D57" i="1"/>
  <c r="G51" i="1"/>
  <c r="G53" i="1" s="1"/>
  <c r="F51" i="1"/>
  <c r="F53" i="1" s="1"/>
  <c r="E51" i="1"/>
  <c r="E53" i="1" s="1"/>
  <c r="D51" i="1"/>
  <c r="D53" i="1" s="1"/>
  <c r="E47" i="1"/>
  <c r="D47" i="1"/>
  <c r="F35" i="1"/>
  <c r="E35" i="1"/>
  <c r="D35" i="1"/>
  <c r="G8" i="1"/>
  <c r="P71" i="1" s="1"/>
  <c r="F8" i="1"/>
  <c r="E8" i="1"/>
  <c r="N71" i="1" s="1"/>
  <c r="D8" i="1"/>
  <c r="M71" i="1" s="1"/>
  <c r="F6" i="1"/>
  <c r="E6" i="1"/>
  <c r="D6" i="1"/>
  <c r="L62" i="1" l="1"/>
  <c r="O9" i="1"/>
  <c r="H16" i="1"/>
  <c r="M54" i="1"/>
  <c r="M10" i="1" s="1"/>
  <c r="M45" i="1"/>
  <c r="N60" i="1"/>
  <c r="N9" i="1"/>
  <c r="H21" i="1"/>
  <c r="H25" i="1" s="1"/>
  <c r="P45" i="1"/>
  <c r="Q74" i="1" s="1"/>
  <c r="P29" i="1"/>
  <c r="P60" i="1"/>
  <c r="P63" i="1" s="1"/>
  <c r="L9" i="1"/>
  <c r="M28" i="1"/>
  <c r="M29" i="1" s="1"/>
  <c r="L45" i="1"/>
  <c r="O54" i="1"/>
  <c r="O10" i="1" s="1"/>
  <c r="O45" i="1"/>
  <c r="O60" i="1"/>
  <c r="O63" i="1" s="1"/>
  <c r="N45" i="1"/>
  <c r="O29" i="1"/>
  <c r="L28" i="1"/>
  <c r="L29" i="1" s="1"/>
  <c r="D48" i="1"/>
  <c r="E40" i="1" s="1"/>
  <c r="E48" i="1" s="1"/>
  <c r="F40" i="1" s="1"/>
  <c r="F48" i="1" s="1"/>
  <c r="G40" i="1" s="1"/>
  <c r="N29" i="1"/>
  <c r="P54" i="1"/>
  <c r="P10" i="1" s="1"/>
  <c r="L54" i="1"/>
  <c r="C21" i="1"/>
  <c r="M60" i="1"/>
  <c r="M63" i="1" s="1"/>
  <c r="E60" i="1"/>
  <c r="L75" i="1"/>
  <c r="C58" i="1"/>
  <c r="C60" i="1" s="1"/>
  <c r="L64" i="1" s="1"/>
  <c r="N63" i="1"/>
  <c r="O71" i="1"/>
  <c r="O73" i="1" s="1"/>
  <c r="F13" i="1"/>
  <c r="O76" i="1" s="1"/>
  <c r="G13" i="1"/>
  <c r="P73" i="1"/>
  <c r="M69" i="1"/>
  <c r="O69" i="1"/>
  <c r="P67" i="1"/>
  <c r="P68" i="1"/>
  <c r="P75" i="1"/>
  <c r="P69" i="1"/>
  <c r="F60" i="1"/>
  <c r="G60" i="1"/>
  <c r="L76" i="1"/>
  <c r="D60" i="1"/>
  <c r="M73" i="1"/>
  <c r="N73" i="1"/>
  <c r="M67" i="1"/>
  <c r="M68" i="1"/>
  <c r="M75" i="1"/>
  <c r="L63" i="1"/>
  <c r="N67" i="1"/>
  <c r="N68" i="1"/>
  <c r="N69" i="1"/>
  <c r="N75" i="1"/>
  <c r="D13" i="1"/>
  <c r="O67" i="1"/>
  <c r="O68" i="1"/>
  <c r="O75" i="1"/>
  <c r="E13" i="1"/>
  <c r="H15" i="1" s="1"/>
  <c r="L67" i="1"/>
  <c r="L68" i="1"/>
  <c r="Q66" i="1" l="1"/>
  <c r="G16" i="1"/>
  <c r="H14" i="1"/>
  <c r="H23" i="1"/>
  <c r="H29" i="1" s="1"/>
  <c r="H31" i="1" s="1"/>
  <c r="P74" i="1"/>
  <c r="L10" i="1"/>
  <c r="M74" i="1"/>
  <c r="G48" i="1"/>
  <c r="H40" i="1" s="1"/>
  <c r="H48" i="1" s="1"/>
  <c r="I40" i="1" s="1"/>
  <c r="I48" i="1" s="1"/>
  <c r="O74" i="1"/>
  <c r="N74" i="1"/>
  <c r="G21" i="1"/>
  <c r="P64" i="1"/>
  <c r="N64" i="1"/>
  <c r="F21" i="1"/>
  <c r="F23" i="1" s="1"/>
  <c r="F26" i="1" s="1"/>
  <c r="F29" i="1" s="1"/>
  <c r="F31" i="1" s="1"/>
  <c r="O64" i="1"/>
  <c r="C23" i="1"/>
  <c r="C26" i="1" s="1"/>
  <c r="C25" i="1"/>
  <c r="G15" i="1"/>
  <c r="P76" i="1"/>
  <c r="G14" i="1"/>
  <c r="F16" i="1"/>
  <c r="F15" i="1"/>
  <c r="E21" i="1"/>
  <c r="E14" i="1"/>
  <c r="E16" i="1"/>
  <c r="N76" i="1"/>
  <c r="L66" i="1"/>
  <c r="D21" i="1"/>
  <c r="D14" i="1"/>
  <c r="D16" i="1"/>
  <c r="M76" i="1"/>
  <c r="F14" i="1"/>
  <c r="M64" i="1"/>
  <c r="P66" i="1" l="1"/>
  <c r="G25" i="1"/>
  <c r="G23" i="1"/>
  <c r="G29" i="1" s="1"/>
  <c r="G31" i="1" s="1"/>
  <c r="H32" i="1" s="1"/>
  <c r="H27" i="1"/>
  <c r="O66" i="1"/>
  <c r="F25" i="1"/>
  <c r="C27" i="1"/>
  <c r="C31" i="1"/>
  <c r="F33" i="1" s="1"/>
  <c r="G27" i="1"/>
  <c r="P65" i="1"/>
  <c r="O65" i="1"/>
  <c r="F27" i="1"/>
  <c r="L65" i="1"/>
  <c r="D23" i="1"/>
  <c r="D26" i="1" s="1"/>
  <c r="D25" i="1"/>
  <c r="M66" i="1"/>
  <c r="E25" i="1"/>
  <c r="N66" i="1"/>
  <c r="E23" i="1"/>
  <c r="E26" i="1" s="1"/>
  <c r="G32" i="1" l="1"/>
  <c r="N65" i="1"/>
  <c r="E29" i="1"/>
  <c r="E31" i="1" s="1"/>
  <c r="H33" i="1" s="1"/>
  <c r="E27" i="1"/>
  <c r="D27" i="1"/>
  <c r="M65" i="1"/>
  <c r="D29" i="1"/>
  <c r="D31" i="1" s="1"/>
  <c r="G33" i="1" s="1"/>
  <c r="D32" i="1" l="1"/>
  <c r="E32" i="1"/>
  <c r="F32" i="1"/>
</calcChain>
</file>

<file path=xl/sharedStrings.xml><?xml version="1.0" encoding="utf-8"?>
<sst xmlns="http://schemas.openxmlformats.org/spreadsheetml/2006/main" count="266" uniqueCount="143">
  <si>
    <t>Income Statement</t>
  </si>
  <si>
    <t>Balance Sheet</t>
  </si>
  <si>
    <t>Y/E, Mar (Rs. mn)</t>
  </si>
  <si>
    <t>FY19</t>
  </si>
  <si>
    <t>FY20</t>
  </si>
  <si>
    <t>FY21</t>
  </si>
  <si>
    <t>FY22</t>
  </si>
  <si>
    <t xml:space="preserve"> Revenue from Operations </t>
  </si>
  <si>
    <t>EQUITY</t>
  </si>
  <si>
    <t>Growth (%)</t>
  </si>
  <si>
    <t>Share Capital</t>
  </si>
  <si>
    <t>CAGR (%) - 3 Years</t>
  </si>
  <si>
    <t>Other Equity</t>
  </si>
  <si>
    <t>Expenditure</t>
  </si>
  <si>
    <t xml:space="preserve">Non Controlling Interests </t>
  </si>
  <si>
    <t>Cost of material consumed</t>
  </si>
  <si>
    <t xml:space="preserve">NON-CURRENT LIABILITIES </t>
  </si>
  <si>
    <t>Changes in Inventory</t>
  </si>
  <si>
    <t>Long Term Debt</t>
  </si>
  <si>
    <t>Employee Benefit Expense</t>
  </si>
  <si>
    <t xml:space="preserve">Lease Liabilities </t>
  </si>
  <si>
    <t>Other Expenses</t>
  </si>
  <si>
    <t>Other Financial Liabilities</t>
  </si>
  <si>
    <t>EBITDA</t>
  </si>
  <si>
    <t>Other Long term Provision</t>
  </si>
  <si>
    <t>Deferred Tax Liability</t>
  </si>
  <si>
    <t xml:space="preserve">CURRENT LIABILITIES </t>
  </si>
  <si>
    <t>EBITDA margin (%)</t>
  </si>
  <si>
    <t>Contract Liabilities</t>
  </si>
  <si>
    <t>Other Income</t>
  </si>
  <si>
    <t>Short Term Debt</t>
  </si>
  <si>
    <t>Depreciation</t>
  </si>
  <si>
    <t>Finance Cost</t>
  </si>
  <si>
    <t>Trade Payables</t>
  </si>
  <si>
    <t>Excp Item</t>
  </si>
  <si>
    <t>Profit before Tax and Share of Associate &amp; JV</t>
  </si>
  <si>
    <t>Other Current Liabilities</t>
  </si>
  <si>
    <t xml:space="preserve">Share of Profit/Loss of an Associate &amp; JV </t>
  </si>
  <si>
    <t>Provisions</t>
  </si>
  <si>
    <t>PBT</t>
  </si>
  <si>
    <t>Current Tax Liabilities</t>
  </si>
  <si>
    <t>Tax</t>
  </si>
  <si>
    <t>TOTAL LIABILITIES</t>
  </si>
  <si>
    <t>Effective tax rate (%)</t>
  </si>
  <si>
    <t>TOTAL EQUITY AND LIABILITIES</t>
  </si>
  <si>
    <t>PAT</t>
  </si>
  <si>
    <t>PAT margin (%)</t>
  </si>
  <si>
    <t>NON-CURRENT ASSETS</t>
  </si>
  <si>
    <t>Net Profit after tax from discontinued operations</t>
  </si>
  <si>
    <t xml:space="preserve">Property, Plant and Equipment </t>
  </si>
  <si>
    <t>Net Profit after tax from continuing and discontinued operations</t>
  </si>
  <si>
    <t>Capital Work-in-Progress</t>
  </si>
  <si>
    <t>Other Comprehensive Income</t>
  </si>
  <si>
    <t>Goodwill</t>
  </si>
  <si>
    <t>Total Comprehensive Income</t>
  </si>
  <si>
    <t>Other Intangible Assets</t>
  </si>
  <si>
    <t>Investment in a JV</t>
  </si>
  <si>
    <t>CAGR (%)</t>
  </si>
  <si>
    <t xml:space="preserve">Other Investments </t>
  </si>
  <si>
    <t>Trade Receivables</t>
  </si>
  <si>
    <t>Loans &amp; Deposits</t>
  </si>
  <si>
    <t>Other Financial Assets</t>
  </si>
  <si>
    <t>Deferred Tax Asset</t>
  </si>
  <si>
    <t>Non-Current Tax Asset</t>
  </si>
  <si>
    <t>Cash Flow</t>
  </si>
  <si>
    <t>Other Non-current Assets</t>
  </si>
  <si>
    <t>CURRENT ASSETS</t>
  </si>
  <si>
    <t>Cash and Cash Equivalents at Beginning of the year</t>
  </si>
  <si>
    <t>Inventories</t>
  </si>
  <si>
    <t>Cash Flow From Operating Activities</t>
  </si>
  <si>
    <t>Contract Assets</t>
  </si>
  <si>
    <t>Cash Flow from Investing Activities</t>
  </si>
  <si>
    <t>Account Receivable</t>
  </si>
  <si>
    <t>Cash Flow From Financing Activities</t>
  </si>
  <si>
    <t>Cash &amp; Bank Balances</t>
  </si>
  <si>
    <t>Short Term Loans &amp; Advances</t>
  </si>
  <si>
    <t>Other Financial assets</t>
  </si>
  <si>
    <t>Net Inc./(Dec.) in Cash and Cash Equivalent</t>
  </si>
  <si>
    <t>Current Tax Assets</t>
  </si>
  <si>
    <t>Cash and Cash Equivalents at End of the year</t>
  </si>
  <si>
    <t>Other Current Assets</t>
  </si>
  <si>
    <t>-</t>
  </si>
  <si>
    <t>TOTAL ASSETS</t>
  </si>
  <si>
    <t>Our Calculations</t>
  </si>
  <si>
    <t xml:space="preserve">Operating Cash Inflow </t>
  </si>
  <si>
    <t>Loans</t>
  </si>
  <si>
    <t>Capital Employed</t>
  </si>
  <si>
    <t>FCF</t>
  </si>
  <si>
    <t>Key ratios</t>
  </si>
  <si>
    <t xml:space="preserve">Y/E, Mar </t>
  </si>
  <si>
    <t>No. of Shares</t>
  </si>
  <si>
    <t>CMP</t>
  </si>
  <si>
    <t>Market Cap</t>
  </si>
  <si>
    <t>EPS (Rs)</t>
  </si>
  <si>
    <t>Total Debt</t>
  </si>
  <si>
    <t>BVPS (Rs)</t>
  </si>
  <si>
    <t>Cash</t>
  </si>
  <si>
    <t>DPS (Rs)</t>
  </si>
  <si>
    <t>EV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</si>
  <si>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</si>
  <si>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</si>
  <si>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</si>
  <si>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</si>
  <si>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</si>
  <si>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</si>
  <si>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</si>
  <si>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</si>
  <si>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</si>
  <si>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NA</t>
  </si>
  <si>
    <t>Creditor Days</t>
  </si>
  <si>
    <t>Inventory Days</t>
  </si>
  <si>
    <t>Cash Conversion Cycle</t>
  </si>
  <si>
    <t xml:space="preserve">NA </t>
  </si>
  <si>
    <t>Interest Cost</t>
  </si>
  <si>
    <t>Interest Coverage Ratio</t>
  </si>
  <si>
    <t>FY23</t>
  </si>
  <si>
    <t>Exchange differences on translation of foreign subsidiaries</t>
  </si>
  <si>
    <t>Cash and Cash Equivalents acquired on business acquisition</t>
  </si>
  <si>
    <t>Capital Expenditure</t>
  </si>
  <si>
    <t>Working Capital Days</t>
  </si>
  <si>
    <t>WPIL Ltd.</t>
  </si>
  <si>
    <t>FY24</t>
  </si>
  <si>
    <t>NET CURRENT ASSETS</t>
  </si>
  <si>
    <t>EPS^</t>
  </si>
  <si>
    <t>^Numbers from countinued operations</t>
  </si>
  <si>
    <t>Cash  and cash equivalents of Rutschi business at beginnig of the year</t>
  </si>
  <si>
    <t>TTM EPS</t>
  </si>
  <si>
    <t>H1 FY25</t>
  </si>
  <si>
    <t>9M FY25</t>
  </si>
  <si>
    <t xml:space="preserve">Orderbook </t>
  </si>
  <si>
    <t>Total</t>
  </si>
  <si>
    <t>Pumps</t>
  </si>
  <si>
    <t>Projects</t>
  </si>
  <si>
    <t>Orderbook Geographical Breakup</t>
  </si>
  <si>
    <t>India</t>
  </si>
  <si>
    <t>Italy</t>
  </si>
  <si>
    <t>South Africa</t>
  </si>
  <si>
    <t>Australia</t>
  </si>
  <si>
    <t>Revenues</t>
  </si>
  <si>
    <t>International</t>
  </si>
  <si>
    <t xml:space="preserve"> </t>
  </si>
  <si>
    <t>9M-FY25</t>
  </si>
  <si>
    <t>TTM Based P/E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</si>
</sst>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.0_ ;_ * \-#,##0.0_ ;_ * &quot;-&quot;??_ ;_ @_ "/>
    <numFmt numFmtId="165" formatCode="0.0"/>
    <numFmt numFmtId="166" formatCode="0.0%"/>
    <numFmt numFmtId="167" formatCode="_ * #,##0_ ;_ * \-#,##0_ ;_ * &quot;-&quot;??_ ;_ @_ "/>
    <numFmt numFmtId="168" formatCode="_ * #,##0.000_ ;_ * \-#,##0.000_ ;_ * &quot;-&quot;??_ ;_ @_ "/>
    <numFmt numFmtId="169" formatCode="_ * #,##0.000_ ;_ * \-#,##0.000_ ;_ * &quot;-&quot;???_ ;_ @_ "/>
    <numFmt numFmtId="170" formatCode="_ &quot;₹&quot;\ * #,##0_ ;_ &quot;₹&quot;\ * \-#,##0_ ;_ &quot;₹&quot;\ * &quot;-&quot;??_ ;_ @_ 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u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ABF8F"/>
        <bgColor rgb="FFFABF8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01">
    <xf numFmtId="0" fontId="0" fillId="0" borderId="0" xfId="0"/>
    <xf numFmtId="0" fontId="3" fillId="0" borderId="0" xfId="0" applyFont="1"/>
    <xf numFmtId="10" fontId="3" fillId="0" borderId="0" xfId="0" applyNumberFormat="1" applyFont="1"/>
    <xf numFmtId="43" fontId="3" fillId="0" borderId="0" xfId="0" applyNumberFormat="1" applyFont="1"/>
    <xf numFmtId="164" fontId="3" fillId="0" borderId="0" xfId="0" applyNumberFormat="1" applyFont="1"/>
    <xf numFmtId="164" fontId="3" fillId="2" borderId="1" xfId="0" applyNumberFormat="1" applyFont="1" applyFill="1" applyBorder="1"/>
    <xf numFmtId="0" fontId="2" fillId="3" borderId="2" xfId="0" applyFont="1" applyFill="1" applyBorder="1"/>
    <xf numFmtId="0" fontId="2" fillId="3" borderId="5" xfId="0" applyFont="1" applyFill="1" applyBorder="1" applyAlignment="1">
      <alignment horizontal="center"/>
    </xf>
    <xf numFmtId="0" fontId="2" fillId="4" borderId="6" xfId="0" applyFont="1" applyFill="1" applyBorder="1"/>
    <xf numFmtId="0" fontId="5" fillId="4" borderId="7" xfId="0" applyFont="1" applyFill="1" applyBorder="1"/>
    <xf numFmtId="0" fontId="2" fillId="4" borderId="7" xfId="0" applyFont="1" applyFill="1" applyBorder="1"/>
    <xf numFmtId="0" fontId="3" fillId="0" borderId="8" xfId="0" applyFont="1" applyBorder="1"/>
    <xf numFmtId="0" fontId="3" fillId="0" borderId="7" xfId="0" applyFont="1" applyBorder="1"/>
    <xf numFmtId="0" fontId="3" fillId="2" borderId="7" xfId="0" applyFont="1" applyFill="1" applyBorder="1"/>
    <xf numFmtId="0" fontId="2" fillId="0" borderId="7" xfId="0" applyFont="1" applyFill="1" applyBorder="1"/>
    <xf numFmtId="0" fontId="2" fillId="0" borderId="7" xfId="0" applyFont="1" applyBorder="1"/>
    <xf numFmtId="0" fontId="5" fillId="4" borderId="9" xfId="0" applyFont="1" applyFill="1" applyBorder="1"/>
    <xf numFmtId="10" fontId="2" fillId="4" borderId="11" xfId="0" applyNumberFormat="1" applyFont="1" applyFill="1" applyBorder="1"/>
    <xf numFmtId="43" fontId="2" fillId="4" borderId="11" xfId="0" applyNumberFormat="1" applyFont="1" applyFill="1" applyBorder="1"/>
    <xf numFmtId="43" fontId="3" fillId="2" borderId="11" xfId="0" applyNumberFormat="1" applyFont="1" applyFill="1" applyBorder="1"/>
    <xf numFmtId="0" fontId="5" fillId="0" borderId="7" xfId="0" applyFont="1" applyFill="1" applyBorder="1"/>
    <xf numFmtId="10" fontId="5" fillId="0" borderId="11" xfId="0" applyNumberFormat="1" applyFont="1" applyFill="1" applyBorder="1"/>
    <xf numFmtId="43" fontId="2" fillId="0" borderId="11" xfId="0" applyNumberFormat="1" applyFont="1" applyFill="1" applyBorder="1"/>
    <xf numFmtId="0" fontId="2" fillId="7" borderId="7" xfId="0" applyFont="1" applyFill="1" applyBorder="1"/>
    <xf numFmtId="43" fontId="2" fillId="7" borderId="11" xfId="0" applyNumberFormat="1" applyFont="1" applyFill="1" applyBorder="1"/>
    <xf numFmtId="0" fontId="2" fillId="5" borderId="7" xfId="0" applyFont="1" applyFill="1" applyBorder="1"/>
    <xf numFmtId="43" fontId="2" fillId="5" borderId="11" xfId="0" applyNumberFormat="1" applyFont="1" applyFill="1" applyBorder="1"/>
    <xf numFmtId="0" fontId="2" fillId="0" borderId="6" xfId="0" applyFont="1" applyBorder="1"/>
    <xf numFmtId="0" fontId="2" fillId="4" borderId="13" xfId="0" applyFont="1" applyFill="1" applyBorder="1"/>
    <xf numFmtId="43" fontId="2" fillId="4" borderId="16" xfId="1" applyFont="1" applyFill="1" applyBorder="1"/>
    <xf numFmtId="43" fontId="2" fillId="4" borderId="18" xfId="1" applyFont="1" applyFill="1" applyBorder="1"/>
    <xf numFmtId="43" fontId="3" fillId="0" borderId="10" xfId="1" applyFont="1" applyBorder="1"/>
    <xf numFmtId="43" fontId="3" fillId="0" borderId="11" xfId="1" applyFont="1" applyBorder="1"/>
    <xf numFmtId="164" fontId="3" fillId="0" borderId="7" xfId="0" applyNumberFormat="1" applyFont="1" applyBorder="1"/>
    <xf numFmtId="0" fontId="2" fillId="0" borderId="19" xfId="0" applyFont="1" applyBorder="1"/>
    <xf numFmtId="0" fontId="2" fillId="3" borderId="2" xfId="0" applyFont="1" applyFill="1" applyBorder="1" applyAlignment="1">
      <alignment horizontal="center"/>
    </xf>
    <xf numFmtId="164" fontId="7" fillId="0" borderId="7" xfId="0" applyNumberFormat="1" applyFont="1" applyFill="1" applyBorder="1"/>
    <xf numFmtId="43" fontId="3" fillId="2" borderId="14" xfId="1" applyFont="1" applyFill="1" applyBorder="1"/>
    <xf numFmtId="43" fontId="3" fillId="0" borderId="14" xfId="1" applyFont="1" applyBorder="1"/>
    <xf numFmtId="43" fontId="2" fillId="4" borderId="2" xfId="1" applyFont="1" applyFill="1" applyBorder="1"/>
    <xf numFmtId="43" fontId="3" fillId="2" borderId="21" xfId="1" applyFont="1" applyFill="1" applyBorder="1"/>
    <xf numFmtId="43" fontId="3" fillId="0" borderId="21" xfId="1" applyFont="1" applyBorder="1"/>
    <xf numFmtId="43" fontId="3" fillId="2" borderId="21" xfId="1" applyFont="1" applyFill="1" applyBorder="1" applyAlignment="1">
      <alignment horizontal="right"/>
    </xf>
    <xf numFmtId="43" fontId="3" fillId="0" borderId="23" xfId="1" applyFont="1" applyBorder="1"/>
    <xf numFmtId="43" fontId="3" fillId="2" borderId="23" xfId="1" applyFont="1" applyFill="1" applyBorder="1"/>
    <xf numFmtId="43" fontId="3" fillId="2" borderId="20" xfId="1" applyFont="1" applyFill="1" applyBorder="1"/>
    <xf numFmtId="43" fontId="2" fillId="4" borderId="3" xfId="1" applyFont="1" applyFill="1" applyBorder="1"/>
    <xf numFmtId="43" fontId="3" fillId="0" borderId="24" xfId="1" applyFont="1" applyBorder="1"/>
    <xf numFmtId="43" fontId="3" fillId="2" borderId="24" xfId="1" applyFont="1" applyFill="1" applyBorder="1"/>
    <xf numFmtId="43" fontId="3" fillId="2" borderId="25" xfId="1" applyFont="1" applyFill="1" applyBorder="1"/>
    <xf numFmtId="43" fontId="3" fillId="0" borderId="22" xfId="1" applyFont="1" applyBorder="1"/>
    <xf numFmtId="43" fontId="3" fillId="2" borderId="22" xfId="1" applyFont="1" applyFill="1" applyBorder="1"/>
    <xf numFmtId="43" fontId="3" fillId="2" borderId="15" xfId="1" applyFont="1" applyFill="1" applyBorder="1"/>
    <xf numFmtId="43" fontId="3" fillId="0" borderId="20" xfId="1" applyFont="1" applyBorder="1"/>
    <xf numFmtId="43" fontId="2" fillId="4" borderId="26" xfId="1" applyFont="1" applyFill="1" applyBorder="1"/>
    <xf numFmtId="43" fontId="2" fillId="4" borderId="27" xfId="1" applyFont="1" applyFill="1" applyBorder="1"/>
    <xf numFmtId="43" fontId="3" fillId="4" borderId="11" xfId="0" applyNumberFormat="1" applyFont="1" applyFill="1" applyBorder="1"/>
    <xf numFmtId="10" fontId="3" fillId="4" borderId="11" xfId="0" applyNumberFormat="1" applyFont="1" applyFill="1" applyBorder="1"/>
    <xf numFmtId="167" fontId="3" fillId="4" borderId="11" xfId="0" applyNumberFormat="1" applyFont="1" applyFill="1" applyBorder="1"/>
    <xf numFmtId="43" fontId="3" fillId="4" borderId="12" xfId="0" applyNumberFormat="1" applyFont="1" applyFill="1" applyBorder="1" applyAlignment="1">
      <alignment wrapText="1"/>
    </xf>
    <xf numFmtId="43" fontId="2" fillId="0" borderId="7" xfId="0" applyNumberFormat="1" applyFont="1" applyFill="1" applyBorder="1"/>
    <xf numFmtId="43" fontId="3" fillId="2" borderId="7" xfId="0" applyNumberFormat="1" applyFont="1" applyFill="1" applyBorder="1"/>
    <xf numFmtId="43" fontId="3" fillId="4" borderId="7" xfId="0" applyNumberFormat="1" applyFont="1" applyFill="1" applyBorder="1"/>
    <xf numFmtId="10" fontId="3" fillId="4" borderId="7" xfId="0" applyNumberFormat="1" applyFont="1" applyFill="1" applyBorder="1"/>
    <xf numFmtId="10" fontId="3" fillId="4" borderId="7" xfId="2" applyNumberFormat="1" applyFont="1" applyFill="1" applyBorder="1"/>
    <xf numFmtId="167" fontId="3" fillId="4" borderId="7" xfId="0" applyNumberFormat="1" applyFont="1" applyFill="1" applyBorder="1" applyAlignment="1">
      <alignment horizontal="right"/>
    </xf>
    <xf numFmtId="43" fontId="3" fillId="4" borderId="9" xfId="0" applyNumberFormat="1" applyFont="1" applyFill="1" applyBorder="1" applyAlignment="1">
      <alignment wrapText="1"/>
    </xf>
    <xf numFmtId="165" fontId="7" fillId="0" borderId="7" xfId="0" applyNumberFormat="1" applyFont="1" applyBorder="1"/>
    <xf numFmtId="165" fontId="7" fillId="5" borderId="7" xfId="0" applyNumberFormat="1" applyFont="1" applyFill="1" applyBorder="1"/>
    <xf numFmtId="166" fontId="7" fillId="5" borderId="7" xfId="0" applyNumberFormat="1" applyFont="1" applyFill="1" applyBorder="1"/>
    <xf numFmtId="10" fontId="7" fillId="5" borderId="7" xfId="0" applyNumberFormat="1" applyFont="1" applyFill="1" applyBorder="1"/>
    <xf numFmtId="0" fontId="7" fillId="5" borderId="7" xfId="0" applyFont="1" applyFill="1" applyBorder="1"/>
    <xf numFmtId="0" fontId="7" fillId="5" borderId="9" xfId="0" applyFont="1" applyFill="1" applyBorder="1"/>
    <xf numFmtId="0" fontId="0" fillId="0" borderId="1" xfId="0" applyBorder="1" applyAlignment="1"/>
    <xf numFmtId="43" fontId="3" fillId="0" borderId="10" xfId="1" applyNumberFormat="1" applyFont="1" applyBorder="1"/>
    <xf numFmtId="43" fontId="3" fillId="2" borderId="16" xfId="1" applyFont="1" applyFill="1" applyBorder="1"/>
    <xf numFmtId="43" fontId="3" fillId="2" borderId="17" xfId="1" applyFont="1" applyFill="1" applyBorder="1"/>
    <xf numFmtId="43" fontId="3" fillId="2" borderId="28" xfId="1" applyFont="1" applyFill="1" applyBorder="1"/>
    <xf numFmtId="43" fontId="8" fillId="4" borderId="16" xfId="1" applyFont="1" applyFill="1" applyBorder="1"/>
    <xf numFmtId="43" fontId="2" fillId="4" borderId="2" xfId="1" applyNumberFormat="1" applyFont="1" applyFill="1" applyBorder="1"/>
    <xf numFmtId="43" fontId="2" fillId="4" borderId="27" xfId="1" applyNumberFormat="1" applyFont="1" applyFill="1" applyBorder="1"/>
    <xf numFmtId="43" fontId="2" fillId="4" borderId="3" xfId="1" applyNumberFormat="1" applyFont="1" applyFill="1" applyBorder="1"/>
    <xf numFmtId="43" fontId="2" fillId="4" borderId="26" xfId="1" applyNumberFormat="1" applyFont="1" applyFill="1" applyBorder="1"/>
    <xf numFmtId="43" fontId="0" fillId="0" borderId="0" xfId="0" applyNumberFormat="1"/>
    <xf numFmtId="168" fontId="2" fillId="4" borderId="3" xfId="1" applyNumberFormat="1" applyFont="1" applyFill="1" applyBorder="1"/>
    <xf numFmtId="43" fontId="3" fillId="2" borderId="20" xfId="1" applyNumberFormat="1" applyFont="1" applyFill="1" applyBorder="1"/>
    <xf numFmtId="43" fontId="3" fillId="0" borderId="14" xfId="1" applyNumberFormat="1" applyFont="1" applyBorder="1"/>
    <xf numFmtId="43" fontId="3" fillId="2" borderId="14" xfId="1" applyNumberFormat="1" applyFont="1" applyFill="1" applyBorder="1"/>
    <xf numFmtId="43" fontId="3" fillId="2" borderId="25" xfId="1" applyNumberFormat="1" applyFont="1" applyFill="1" applyBorder="1"/>
    <xf numFmtId="43" fontId="3" fillId="2" borderId="15" xfId="1" applyNumberFormat="1" applyFont="1" applyFill="1" applyBorder="1"/>
    <xf numFmtId="167" fontId="3" fillId="0" borderId="7" xfId="0" applyNumberFormat="1" applyFont="1" applyBorder="1"/>
    <xf numFmtId="43" fontId="2" fillId="0" borderId="7" xfId="1" applyNumberFormat="1" applyFont="1" applyFill="1" applyBorder="1"/>
    <xf numFmtId="43" fontId="2" fillId="0" borderId="11" xfId="1" applyNumberFormat="1" applyFont="1" applyFill="1" applyBorder="1"/>
    <xf numFmtId="43" fontId="2" fillId="5" borderId="11" xfId="0" applyNumberFormat="1" applyFont="1" applyFill="1" applyBorder="1" applyAlignment="1">
      <alignment horizontal="right"/>
    </xf>
    <xf numFmtId="0" fontId="2" fillId="0" borderId="30" xfId="0" applyFont="1" applyFill="1" applyBorder="1"/>
    <xf numFmtId="164" fontId="7" fillId="0" borderId="30" xfId="0" applyNumberFormat="1" applyFont="1" applyFill="1" applyBorder="1"/>
    <xf numFmtId="0" fontId="2" fillId="4" borderId="2" xfId="0" applyFont="1" applyFill="1" applyBorder="1"/>
    <xf numFmtId="164" fontId="2" fillId="4" borderId="2" xfId="0" applyNumberFormat="1" applyFont="1" applyFill="1" applyBorder="1"/>
    <xf numFmtId="0" fontId="7" fillId="0" borderId="25" xfId="0" applyFont="1" applyBorder="1"/>
    <xf numFmtId="43" fontId="3" fillId="0" borderId="28" xfId="1" applyFont="1" applyBorder="1"/>
    <xf numFmtId="43" fontId="2" fillId="4" borderId="5" xfId="1" applyFont="1" applyFill="1" applyBorder="1"/>
    <xf numFmtId="0" fontId="2" fillId="5" borderId="2" xfId="0" applyFont="1" applyFill="1" applyBorder="1"/>
    <xf numFmtId="43" fontId="2" fillId="4" borderId="5" xfId="1" applyNumberFormat="1" applyFont="1" applyFill="1" applyBorder="1"/>
    <xf numFmtId="0" fontId="7" fillId="0" borderId="30" xfId="0" applyFont="1" applyBorder="1"/>
    <xf numFmtId="43" fontId="7" fillId="0" borderId="31" xfId="1" applyFont="1" applyBorder="1" applyAlignment="1">
      <alignment horizontal="right"/>
    </xf>
    <xf numFmtId="43" fontId="3" fillId="0" borderId="31" xfId="1" applyFont="1" applyBorder="1"/>
    <xf numFmtId="0" fontId="2" fillId="5" borderId="32" xfId="0" applyFont="1" applyFill="1" applyBorder="1"/>
    <xf numFmtId="43" fontId="2" fillId="4" borderId="33" xfId="1" applyFont="1" applyFill="1" applyBorder="1"/>
    <xf numFmtId="43" fontId="2" fillId="4" borderId="33" xfId="1" applyNumberFormat="1" applyFont="1" applyFill="1" applyBorder="1"/>
    <xf numFmtId="43" fontId="2" fillId="4" borderId="3" xfId="1" applyFont="1" applyFill="1" applyBorder="1" applyAlignment="1">
      <alignment horizontal="left"/>
    </xf>
    <xf numFmtId="43" fontId="3" fillId="0" borderId="13" xfId="1" applyFont="1" applyBorder="1" applyAlignment="1">
      <alignment horizontal="left"/>
    </xf>
    <xf numFmtId="43" fontId="3" fillId="0" borderId="14" xfId="1" applyFont="1" applyBorder="1" applyAlignment="1">
      <alignment horizontal="left"/>
    </xf>
    <xf numFmtId="43" fontId="3" fillId="0" borderId="25" xfId="1" applyFont="1" applyBorder="1" applyAlignment="1">
      <alignment horizontal="left"/>
    </xf>
    <xf numFmtId="44" fontId="2" fillId="4" borderId="13" xfId="1" applyNumberFormat="1" applyFont="1" applyFill="1" applyBorder="1" applyAlignment="1">
      <alignment horizontal="left"/>
    </xf>
    <xf numFmtId="44" fontId="2" fillId="5" borderId="7" xfId="1" applyNumberFormat="1" applyFont="1" applyFill="1" applyBorder="1" applyAlignment="1"/>
    <xf numFmtId="44" fontId="2" fillId="4" borderId="15" xfId="1" applyNumberFormat="1" applyFont="1" applyFill="1" applyBorder="1"/>
    <xf numFmtId="0" fontId="3" fillId="0" borderId="7" xfId="0" applyFont="1" applyFill="1" applyBorder="1"/>
    <xf numFmtId="0" fontId="3" fillId="0" borderId="0" xfId="0" applyFont="1" applyAlignment="1">
      <alignment horizontal="left" indent="6"/>
    </xf>
    <xf numFmtId="10" fontId="3" fillId="0" borderId="0" xfId="2" applyNumberFormat="1" applyFont="1"/>
    <xf numFmtId="0" fontId="3" fillId="0" borderId="4" xfId="0" applyFont="1" applyBorder="1" applyAlignment="1">
      <alignment horizontal="center"/>
    </xf>
    <xf numFmtId="43" fontId="2" fillId="4" borderId="10" xfId="0" applyNumberFormat="1" applyFont="1" applyFill="1" applyBorder="1"/>
    <xf numFmtId="43" fontId="5" fillId="4" borderId="11" xfId="0" applyNumberFormat="1" applyFont="1" applyFill="1" applyBorder="1"/>
    <xf numFmtId="43" fontId="3" fillId="0" borderId="11" xfId="0" applyNumberFormat="1" applyFont="1" applyBorder="1"/>
    <xf numFmtId="43" fontId="3" fillId="0" borderId="11" xfId="0" applyNumberFormat="1" applyFont="1" applyFill="1" applyBorder="1"/>
    <xf numFmtId="10" fontId="5" fillId="4" borderId="11" xfId="2" applyNumberFormat="1" applyFont="1" applyFill="1" applyBorder="1"/>
    <xf numFmtId="10" fontId="5" fillId="4" borderId="11" xfId="0" applyNumberFormat="1" applyFont="1" applyFill="1" applyBorder="1"/>
    <xf numFmtId="43" fontId="2" fillId="4" borderId="11" xfId="1" applyNumberFormat="1" applyFont="1" applyFill="1" applyBorder="1"/>
    <xf numFmtId="43" fontId="3" fillId="0" borderId="11" xfId="1" applyNumberFormat="1" applyFont="1" applyBorder="1"/>
    <xf numFmtId="43" fontId="3" fillId="0" borderId="11" xfId="1" applyNumberFormat="1" applyFont="1" applyFill="1" applyBorder="1"/>
    <xf numFmtId="10" fontId="5" fillId="4" borderId="12" xfId="2" applyNumberFormat="1" applyFont="1" applyFill="1" applyBorder="1"/>
    <xf numFmtId="43" fontId="3" fillId="2" borderId="16" xfId="1" applyNumberFormat="1" applyFont="1" applyFill="1" applyBorder="1"/>
    <xf numFmtId="43" fontId="3" fillId="2" borderId="17" xfId="1" applyNumberFormat="1" applyFont="1" applyFill="1" applyBorder="1"/>
    <xf numFmtId="43" fontId="3" fillId="2" borderId="28" xfId="1" applyNumberFormat="1" applyFont="1" applyFill="1" applyBorder="1"/>
    <xf numFmtId="43" fontId="8" fillId="4" borderId="16" xfId="1" applyNumberFormat="1" applyFont="1" applyFill="1" applyBorder="1"/>
    <xf numFmtId="43" fontId="2" fillId="4" borderId="18" xfId="1" applyNumberFormat="1" applyFont="1" applyFill="1" applyBorder="1"/>
    <xf numFmtId="43" fontId="3" fillId="2" borderId="14" xfId="1" applyNumberFormat="1" applyFont="1" applyFill="1" applyBorder="1" applyAlignment="1">
      <alignment horizontal="right"/>
    </xf>
    <xf numFmtId="43" fontId="3" fillId="0" borderId="10" xfId="1" applyNumberFormat="1" applyFont="1" applyFill="1" applyBorder="1"/>
    <xf numFmtId="43" fontId="7" fillId="0" borderId="31" xfId="1" applyNumberFormat="1" applyFont="1" applyFill="1" applyBorder="1" applyAlignment="1">
      <alignment horizontal="right"/>
    </xf>
    <xf numFmtId="43" fontId="7" fillId="0" borderId="31" xfId="1" applyNumberFormat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2" fillId="3" borderId="27" xfId="0" applyFont="1" applyFill="1" applyBorder="1"/>
    <xf numFmtId="0" fontId="2" fillId="3" borderId="34" xfId="0" applyFont="1" applyFill="1" applyBorder="1" applyAlignment="1">
      <alignment horizontal="center"/>
    </xf>
    <xf numFmtId="0" fontId="3" fillId="0" borderId="1" xfId="0" applyFont="1" applyBorder="1"/>
    <xf numFmtId="0" fontId="2" fillId="3" borderId="27" xfId="0" applyFont="1" applyFill="1" applyBorder="1" applyAlignment="1">
      <alignment horizontal="center"/>
    </xf>
    <xf numFmtId="169" fontId="3" fillId="0" borderId="0" xfId="0" applyNumberFormat="1" applyFont="1"/>
    <xf numFmtId="10" fontId="5" fillId="4" borderId="7" xfId="0" applyNumberFormat="1" applyFont="1" applyFill="1" applyBorder="1" applyAlignment="1">
      <alignment horizontal="right"/>
    </xf>
    <xf numFmtId="10" fontId="5" fillId="4" borderId="9" xfId="0" applyNumberFormat="1" applyFont="1" applyFill="1" applyBorder="1" applyAlignment="1">
      <alignment horizontal="right"/>
    </xf>
    <xf numFmtId="43" fontId="3" fillId="2" borderId="7" xfId="0" applyNumberFormat="1" applyFont="1" applyFill="1" applyBorder="1" applyAlignment="1">
      <alignment horizontal="right"/>
    </xf>
    <xf numFmtId="43" fontId="3" fillId="4" borderId="7" xfId="0" applyNumberFormat="1" applyFont="1" applyFill="1" applyBorder="1" applyAlignment="1">
      <alignment horizontal="right"/>
    </xf>
    <xf numFmtId="10" fontId="2" fillId="5" borderId="11" xfId="0" applyNumberFormat="1" applyFont="1" applyFill="1" applyBorder="1"/>
    <xf numFmtId="10" fontId="5" fillId="5" borderId="11" xfId="0" applyNumberFormat="1" applyFont="1" applyFill="1" applyBorder="1"/>
    <xf numFmtId="43" fontId="3" fillId="0" borderId="16" xfId="1" applyNumberFormat="1" applyFont="1" applyFill="1" applyBorder="1"/>
    <xf numFmtId="43" fontId="3" fillId="0" borderId="17" xfId="1" applyNumberFormat="1" applyFont="1" applyFill="1" applyBorder="1"/>
    <xf numFmtId="43" fontId="3" fillId="0" borderId="28" xfId="1" applyNumberFormat="1" applyFont="1" applyFill="1" applyBorder="1"/>
    <xf numFmtId="43" fontId="3" fillId="0" borderId="20" xfId="1" applyNumberFormat="1" applyFont="1" applyFill="1" applyBorder="1"/>
    <xf numFmtId="43" fontId="3" fillId="0" borderId="14" xfId="1" applyNumberFormat="1" applyFont="1" applyFill="1" applyBorder="1"/>
    <xf numFmtId="43" fontId="3" fillId="0" borderId="25" xfId="1" applyNumberFormat="1" applyFont="1" applyFill="1" applyBorder="1"/>
    <xf numFmtId="43" fontId="3" fillId="0" borderId="15" xfId="1" applyNumberFormat="1" applyFont="1" applyFill="1" applyBorder="1"/>
    <xf numFmtId="43" fontId="3" fillId="0" borderId="14" xfId="1" applyNumberFormat="1" applyFont="1" applyFill="1" applyBorder="1" applyAlignment="1">
      <alignment horizontal="right"/>
    </xf>
    <xf numFmtId="167" fontId="3" fillId="0" borderId="7" xfId="0" applyNumberFormat="1" applyFont="1" applyFill="1" applyBorder="1"/>
    <xf numFmtId="164" fontId="3" fillId="0" borderId="7" xfId="0" applyNumberFormat="1" applyFont="1" applyFill="1" applyBorder="1"/>
    <xf numFmtId="43" fontId="3" fillId="0" borderId="28" xfId="1" applyFont="1" applyFill="1" applyBorder="1"/>
    <xf numFmtId="43" fontId="2" fillId="5" borderId="10" xfId="0" applyNumberFormat="1" applyFont="1" applyFill="1" applyBorder="1"/>
    <xf numFmtId="10" fontId="5" fillId="5" borderId="11" xfId="2" applyNumberFormat="1" applyFont="1" applyFill="1" applyBorder="1"/>
    <xf numFmtId="43" fontId="2" fillId="5" borderId="2" xfId="1" applyNumberFormat="1" applyFont="1" applyFill="1" applyBorder="1"/>
    <xf numFmtId="43" fontId="2" fillId="5" borderId="27" xfId="1" applyNumberFormat="1" applyFont="1" applyFill="1" applyBorder="1"/>
    <xf numFmtId="43" fontId="2" fillId="5" borderId="33" xfId="1" applyNumberFormat="1" applyFont="1" applyFill="1" applyBorder="1"/>
    <xf numFmtId="164" fontId="2" fillId="5" borderId="2" xfId="0" applyNumberFormat="1" applyFont="1" applyFill="1" applyBorder="1"/>
    <xf numFmtId="0" fontId="0" fillId="0" borderId="0" xfId="0" applyAlignment="1">
      <alignment horizontal="center"/>
    </xf>
    <xf numFmtId="0" fontId="11" fillId="0" borderId="36" xfId="0" applyFont="1" applyBorder="1" applyAlignment="1">
      <alignment horizontal="center"/>
    </xf>
    <xf numFmtId="170" fontId="0" fillId="0" borderId="37" xfId="0" applyNumberFormat="1" applyBorder="1" applyAlignment="1">
      <alignment horizontal="center"/>
    </xf>
    <xf numFmtId="170" fontId="0" fillId="0" borderId="36" xfId="0" applyNumberFormat="1" applyBorder="1" applyAlignment="1">
      <alignment horizontal="center"/>
    </xf>
    <xf numFmtId="0" fontId="11" fillId="8" borderId="36" xfId="0" applyFont="1" applyFill="1" applyBorder="1" applyAlignment="1">
      <alignment horizontal="center"/>
    </xf>
    <xf numFmtId="9" fontId="0" fillId="0" borderId="36" xfId="0" applyNumberFormat="1" applyBorder="1" applyAlignment="1">
      <alignment horizontal="center"/>
    </xf>
    <xf numFmtId="0" fontId="0" fillId="0" borderId="36" xfId="0" applyBorder="1" applyAlignment="1">
      <alignment horizontal="center"/>
    </xf>
    <xf numFmtId="9" fontId="0" fillId="0" borderId="36" xfId="2" applyFont="1" applyBorder="1" applyAlignment="1">
      <alignment horizontal="center"/>
    </xf>
    <xf numFmtId="0" fontId="1" fillId="0" borderId="0" xfId="0" applyFont="1"/>
    <xf numFmtId="170" fontId="0" fillId="0" borderId="0" xfId="0" applyNumberFormat="1"/>
    <xf numFmtId="43" fontId="2" fillId="0" borderId="6" xfId="1" applyNumberFormat="1" applyFont="1" applyFill="1" applyBorder="1" applyAlignment="1">
      <alignment horizontal="right"/>
    </xf>
    <xf numFmtId="43" fontId="2" fillId="0" borderId="7" xfId="0" applyNumberFormat="1" applyFont="1" applyFill="1" applyBorder="1" applyAlignment="1">
      <alignment horizontal="right"/>
    </xf>
    <xf numFmtId="43" fontId="3" fillId="5" borderId="7" xfId="0" applyNumberFormat="1" applyFont="1" applyFill="1" applyBorder="1" applyAlignment="1">
      <alignment horizontal="right"/>
    </xf>
    <xf numFmtId="0" fontId="9" fillId="5" borderId="3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0" fontId="10" fillId="0" borderId="29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3" fillId="0" borderId="29" xfId="0" applyFont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4" fillId="5" borderId="26" xfId="0" applyFont="1" applyFill="1" applyBorder="1" applyAlignment="1">
      <alignment horizontal="center"/>
    </xf>
    <xf numFmtId="0" fontId="4" fillId="5" borderId="35" xfId="0" applyFont="1" applyFill="1" applyBorder="1" applyAlignment="1">
      <alignment horizontal="center"/>
    </xf>
    <xf numFmtId="0" fontId="4" fillId="5" borderId="34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11" fillId="8" borderId="36" xfId="0" applyFont="1" applyFill="1" applyBorder="1" applyAlignment="1">
      <alignment horizontal="center" vertical="center"/>
    </xf>
    <xf numFmtId="0" fontId="11" fillId="8" borderId="37" xfId="0" applyFont="1" applyFill="1" applyBorder="1" applyAlignment="1">
      <alignment horizontal="center" wrapText="1"/>
    </xf>
    <xf numFmtId="0" fontId="11" fillId="8" borderId="38" xfId="0" applyFont="1" applyFill="1" applyBorder="1" applyAlignment="1">
      <alignment horizontal="center" wrapText="1"/>
    </xf>
    <xf numFmtId="0" fontId="11" fillId="8" borderId="36" xfId="0" applyFont="1" applyFill="1" applyBorder="1" applyAlignment="1">
      <alignment horizontal="center"/>
    </xf>
    <xf numFmtId="0" fontId="11" fillId="8" borderId="37" xfId="0" applyFont="1" applyFill="1" applyBorder="1" applyAlignment="1">
      <alignment horizontal="center" vertical="center"/>
    </xf>
    <xf numFmtId="0" fontId="11" fillId="8" borderId="38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Y1002"/>
  <sheetViews>
    <sheetView showGridLines="0" tabSelected="1" zoomScale="130" zoomScaleNormal="130" workbookViewId="0">
      <pane ySplit="4" topLeftCell="A59" activePane="bottomLeft" state="frozen"/>
      <selection pane="bottomLeft" activeCell="S62" sqref="S62"/>
    </sheetView>
  </sheetViews>
  <sheetFormatPr defaultColWidth="14.42578125" defaultRowHeight="15" customHeight="1" x14ac:dyDescent="0.25"/>
  <cols>
    <col min="1" max="1" width="5.140625" customWidth="1"/>
    <col min="2" max="2" width="52.5703125" bestFit="1" customWidth="1"/>
    <col min="3" max="3" width="10" hidden="1" customWidth="1"/>
    <col min="4" max="9" width="10" bestFit="1" customWidth="1"/>
    <col min="10" max="10" width="2.28515625" customWidth="1"/>
    <col min="11" max="11" width="55.140625" customWidth="1"/>
    <col min="12" max="12" width="9.5703125" hidden="1" customWidth="1"/>
    <col min="13" max="13" width="10.5703125" bestFit="1" customWidth="1"/>
    <col min="14" max="14" width="9.85546875" customWidth="1"/>
    <col min="15" max="16" width="10.28515625" bestFit="1" customWidth="1"/>
    <col min="17" max="18" width="10.5703125" bestFit="1" customWidth="1"/>
    <col min="19" max="25" width="9.140625" customWidth="1"/>
  </cols>
  <sheetData>
    <row r="1" spans="1:25" ht="15" customHeight="1" thickBot="1" x14ac:dyDescent="0.3"/>
    <row r="2" spans="1:25" ht="15" customHeight="1" thickBot="1" x14ac:dyDescent="0.3">
      <c r="A2" s="73"/>
      <c r="B2" s="181" t="s">
        <v>120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3"/>
      <c r="S2" s="1"/>
      <c r="T2" s="1"/>
      <c r="U2" s="1"/>
      <c r="V2" s="1"/>
      <c r="W2" s="1"/>
      <c r="X2" s="1"/>
      <c r="Y2" s="1"/>
    </row>
    <row r="3" spans="1:25" ht="15" customHeight="1" thickBot="1" x14ac:dyDescent="0.3">
      <c r="B3" s="189" t="s">
        <v>0</v>
      </c>
      <c r="C3" s="190"/>
      <c r="D3" s="190"/>
      <c r="E3" s="190"/>
      <c r="F3" s="190"/>
      <c r="G3" s="190"/>
      <c r="H3" s="190"/>
      <c r="I3" s="191"/>
      <c r="J3" s="188">
        <v>1</v>
      </c>
      <c r="K3" s="192" t="s">
        <v>1</v>
      </c>
      <c r="L3" s="193"/>
      <c r="M3" s="193"/>
      <c r="N3" s="193"/>
      <c r="O3" s="193"/>
      <c r="P3" s="193"/>
      <c r="Q3" s="193"/>
      <c r="R3" s="194"/>
      <c r="S3" s="1"/>
      <c r="T3" s="1"/>
      <c r="U3" s="1"/>
      <c r="V3" s="1"/>
      <c r="W3" s="1"/>
      <c r="X3" s="1"/>
      <c r="Y3" s="1"/>
    </row>
    <row r="4" spans="1:25" ht="15" customHeight="1" thickBot="1" x14ac:dyDescent="0.3">
      <c r="B4" s="140" t="s">
        <v>2</v>
      </c>
      <c r="C4" s="141" t="s">
        <v>3</v>
      </c>
      <c r="D4" s="141" t="s">
        <v>4</v>
      </c>
      <c r="E4" s="141" t="s">
        <v>5</v>
      </c>
      <c r="F4" s="141" t="s">
        <v>6</v>
      </c>
      <c r="G4" s="141" t="s">
        <v>115</v>
      </c>
      <c r="H4" s="141" t="s">
        <v>121</v>
      </c>
      <c r="I4" s="141" t="s">
        <v>128</v>
      </c>
      <c r="J4" s="188"/>
      <c r="K4" s="140" t="s">
        <v>2</v>
      </c>
      <c r="L4" s="141" t="s">
        <v>3</v>
      </c>
      <c r="M4" s="141" t="s">
        <v>4</v>
      </c>
      <c r="N4" s="141" t="s">
        <v>5</v>
      </c>
      <c r="O4" s="141" t="s">
        <v>6</v>
      </c>
      <c r="P4" s="141" t="s">
        <v>115</v>
      </c>
      <c r="Q4" s="141" t="s">
        <v>121</v>
      </c>
      <c r="R4" s="141" t="s">
        <v>127</v>
      </c>
      <c r="S4" s="1"/>
      <c r="T4" s="1"/>
      <c r="U4" s="1"/>
      <c r="V4" s="1"/>
      <c r="W4" s="1"/>
      <c r="X4" s="1"/>
      <c r="Y4" s="1"/>
    </row>
    <row r="5" spans="1:25" ht="15" customHeight="1" thickBot="1" x14ac:dyDescent="0.3">
      <c r="B5" s="8" t="s">
        <v>7</v>
      </c>
      <c r="C5" s="120">
        <v>11564.682000000001</v>
      </c>
      <c r="D5" s="120">
        <v>9088.8719999999994</v>
      </c>
      <c r="E5" s="120">
        <v>9948.3060000000005</v>
      </c>
      <c r="F5" s="120">
        <v>11812.778</v>
      </c>
      <c r="G5" s="120">
        <v>16054.589</v>
      </c>
      <c r="H5" s="120">
        <v>16644.038</v>
      </c>
      <c r="I5" s="162">
        <v>12350.135</v>
      </c>
      <c r="J5" s="188"/>
      <c r="K5" s="109" t="s">
        <v>8</v>
      </c>
      <c r="L5" s="46">
        <f t="shared" ref="L5:O5" si="0">L6+L7+L8</f>
        <v>4380.8469999999998</v>
      </c>
      <c r="M5" s="81">
        <f t="shared" si="0"/>
        <v>4812.8969999999999</v>
      </c>
      <c r="N5" s="39">
        <f t="shared" si="0"/>
        <v>5898.9000000000005</v>
      </c>
      <c r="O5" s="39">
        <f t="shared" si="0"/>
        <v>7056.2999999999993</v>
      </c>
      <c r="P5" s="79">
        <f>(P6+P7+P8)</f>
        <v>9128.6270000000004</v>
      </c>
      <c r="Q5" s="79">
        <f>(Q6+Q7+Q8)</f>
        <v>15563.295999999998</v>
      </c>
      <c r="R5" s="164">
        <f>(R6+R7+R8)</f>
        <v>16908.95</v>
      </c>
      <c r="S5" s="1"/>
      <c r="T5" s="1"/>
      <c r="U5" s="1"/>
      <c r="V5" s="1"/>
      <c r="W5" s="1"/>
      <c r="X5" s="1"/>
      <c r="Y5" s="1"/>
    </row>
    <row r="6" spans="1:25" ht="15" customHeight="1" x14ac:dyDescent="0.25">
      <c r="B6" s="9" t="s">
        <v>9</v>
      </c>
      <c r="C6" s="121"/>
      <c r="D6" s="124">
        <f t="shared" ref="D6:F6" si="1">D5/C5-1</f>
        <v>-0.21408370761945739</v>
      </c>
      <c r="E6" s="124">
        <f t="shared" si="1"/>
        <v>9.4558928764757688E-2</v>
      </c>
      <c r="F6" s="124">
        <f t="shared" si="1"/>
        <v>0.18741602841730032</v>
      </c>
      <c r="G6" s="124">
        <f>G5/F5-1</f>
        <v>0.35908666022505464</v>
      </c>
      <c r="H6" s="124">
        <f>H5/G5-1</f>
        <v>3.6715296791465679E-2</v>
      </c>
      <c r="I6" s="163"/>
      <c r="J6" s="188"/>
      <c r="K6" s="110" t="s">
        <v>10</v>
      </c>
      <c r="L6" s="75">
        <v>97.671000000000006</v>
      </c>
      <c r="M6" s="75">
        <v>97.671000000000006</v>
      </c>
      <c r="N6" s="75">
        <v>97.7</v>
      </c>
      <c r="O6" s="75">
        <v>97.7</v>
      </c>
      <c r="P6" s="130">
        <v>97.671000000000006</v>
      </c>
      <c r="Q6" s="130">
        <v>97.671000000000006</v>
      </c>
      <c r="R6" s="151">
        <v>97.671000000000006</v>
      </c>
      <c r="S6" s="1"/>
      <c r="T6" s="1"/>
      <c r="U6" s="1"/>
      <c r="V6" s="1"/>
      <c r="W6" s="1"/>
      <c r="X6" s="1"/>
      <c r="Y6" s="1"/>
    </row>
    <row r="7" spans="1:25" ht="15" customHeight="1" x14ac:dyDescent="0.25">
      <c r="B7" s="9" t="s">
        <v>11</v>
      </c>
      <c r="C7" s="121"/>
      <c r="D7" s="124"/>
      <c r="E7" s="124"/>
      <c r="F7" s="124">
        <f>+(F5/C5)^(1/3)-1</f>
        <v>7.1004321704295492E-3</v>
      </c>
      <c r="G7" s="124">
        <f>+(G5/D5)^(1/3)-1</f>
        <v>0.20882398432194682</v>
      </c>
      <c r="H7" s="124">
        <f>+(H5/E5)^(1/3)-1</f>
        <v>0.18714341484970354</v>
      </c>
      <c r="I7" s="163"/>
      <c r="J7" s="188"/>
      <c r="K7" s="111" t="s">
        <v>12</v>
      </c>
      <c r="L7" s="76">
        <v>3974.2640000000001</v>
      </c>
      <c r="M7" s="76">
        <v>4438.7</v>
      </c>
      <c r="N7" s="76">
        <v>5327.1</v>
      </c>
      <c r="O7" s="76">
        <v>6247.2</v>
      </c>
      <c r="P7" s="131">
        <v>8000.6480000000001</v>
      </c>
      <c r="Q7" s="131">
        <v>12361.468999999999</v>
      </c>
      <c r="R7" s="152">
        <v>13404.701999999999</v>
      </c>
      <c r="S7" s="1"/>
      <c r="T7" s="1"/>
      <c r="U7" s="1"/>
      <c r="V7" s="1"/>
      <c r="W7" s="1"/>
      <c r="X7" s="1"/>
      <c r="Y7" s="1"/>
    </row>
    <row r="8" spans="1:25" ht="15" customHeight="1" thickBot="1" x14ac:dyDescent="0.3">
      <c r="B8" s="10" t="s">
        <v>13</v>
      </c>
      <c r="C8" s="18">
        <f t="shared" ref="C8:F8" si="2">SUM(C9:C12)</f>
        <v>9224.5619999999999</v>
      </c>
      <c r="D8" s="18">
        <f t="shared" si="2"/>
        <v>7887.1570000000002</v>
      </c>
      <c r="E8" s="18">
        <f t="shared" si="2"/>
        <v>8382.4760000000006</v>
      </c>
      <c r="F8" s="18">
        <f t="shared" si="2"/>
        <v>9710.3829999999998</v>
      </c>
      <c r="G8" s="18">
        <f>SUM(G9:G12)</f>
        <v>13380.109</v>
      </c>
      <c r="H8" s="18">
        <f>SUM(H9:H12)</f>
        <v>13660.642</v>
      </c>
      <c r="I8" s="26">
        <f>SUM(I9:I12)</f>
        <v>10223.030000000001</v>
      </c>
      <c r="J8" s="188"/>
      <c r="K8" s="112" t="s">
        <v>14</v>
      </c>
      <c r="L8" s="77">
        <v>308.91199999999998</v>
      </c>
      <c r="M8" s="77">
        <v>276.52600000000001</v>
      </c>
      <c r="N8" s="77">
        <v>474.1</v>
      </c>
      <c r="O8" s="77">
        <v>711.4</v>
      </c>
      <c r="P8" s="132">
        <v>1030.308</v>
      </c>
      <c r="Q8" s="132">
        <v>3104.1559999999999</v>
      </c>
      <c r="R8" s="153">
        <v>3406.5770000000002</v>
      </c>
      <c r="S8" s="1"/>
      <c r="T8" s="1"/>
      <c r="U8" s="1"/>
      <c r="V8" s="1"/>
      <c r="W8" s="1"/>
      <c r="X8" s="1"/>
      <c r="Y8" s="1"/>
    </row>
    <row r="9" spans="1:25" ht="15" customHeight="1" x14ac:dyDescent="0.25">
      <c r="B9" s="11" t="s">
        <v>15</v>
      </c>
      <c r="C9" s="122">
        <v>5037.7</v>
      </c>
      <c r="D9" s="122">
        <v>4000.3359999999998</v>
      </c>
      <c r="E9" s="122">
        <v>4028.9879999999998</v>
      </c>
      <c r="F9" s="122">
        <v>5396.2929999999997</v>
      </c>
      <c r="G9" s="127">
        <v>3737.549</v>
      </c>
      <c r="H9" s="122">
        <v>3549.145</v>
      </c>
      <c r="I9" s="123">
        <v>2855.9589999999998</v>
      </c>
      <c r="J9" s="188"/>
      <c r="K9" s="113" t="s">
        <v>86</v>
      </c>
      <c r="L9" s="78">
        <f>(L5+L13)</f>
        <v>4855.3859999999995</v>
      </c>
      <c r="M9" s="78">
        <f t="shared" ref="M9:Q9" si="3">(M5+M13)</f>
        <v>7362.83</v>
      </c>
      <c r="N9" s="78">
        <f t="shared" si="3"/>
        <v>8065.9000000000015</v>
      </c>
      <c r="O9" s="78">
        <f t="shared" si="3"/>
        <v>8809</v>
      </c>
      <c r="P9" s="133">
        <f t="shared" si="3"/>
        <v>10589.43</v>
      </c>
      <c r="Q9" s="133">
        <f t="shared" si="3"/>
        <v>16177.264999999999</v>
      </c>
      <c r="R9" s="133">
        <f t="shared" ref="R9" si="4">(R5+R13)</f>
        <v>18366.028000000002</v>
      </c>
      <c r="X9" s="1"/>
      <c r="Y9" s="1"/>
    </row>
    <row r="10" spans="1:25" ht="15" customHeight="1" x14ac:dyDescent="0.25">
      <c r="B10" s="12" t="s">
        <v>17</v>
      </c>
      <c r="C10" s="122">
        <v>163.03100000000001</v>
      </c>
      <c r="D10" s="122">
        <v>-71.313999999999993</v>
      </c>
      <c r="E10" s="122">
        <v>220.20099999999999</v>
      </c>
      <c r="F10" s="122">
        <v>-242.46</v>
      </c>
      <c r="G10" s="128">
        <v>-275.43700000000001</v>
      </c>
      <c r="H10" s="122">
        <v>-74.498000000000005</v>
      </c>
      <c r="I10" s="123">
        <v>-230.46299999999999</v>
      </c>
      <c r="J10" s="188"/>
      <c r="K10" s="114" t="s">
        <v>86</v>
      </c>
      <c r="L10" s="26">
        <f>L54-L19</f>
        <v>4855.3869999999988</v>
      </c>
      <c r="M10" s="26">
        <f>M54-M19</f>
        <v>7362.8300000000008</v>
      </c>
      <c r="N10" s="26">
        <f t="shared" ref="N10:P10" si="5">N54-N19</f>
        <v>8065.9000000000005</v>
      </c>
      <c r="O10" s="26">
        <f t="shared" si="5"/>
        <v>8809.0000000000036</v>
      </c>
      <c r="P10" s="26">
        <f t="shared" si="5"/>
        <v>10589.429999999998</v>
      </c>
      <c r="Q10" s="26">
        <f>Q54-Q19</f>
        <v>16177.264999999992</v>
      </c>
      <c r="R10" s="26">
        <f>R54-R19</f>
        <v>18366.027999999998</v>
      </c>
      <c r="X10" s="1"/>
      <c r="Y10" s="1"/>
    </row>
    <row r="11" spans="1:25" ht="15" customHeight="1" thickBot="1" x14ac:dyDescent="0.3">
      <c r="B11" s="12" t="s">
        <v>19</v>
      </c>
      <c r="C11" s="122">
        <v>1609.14</v>
      </c>
      <c r="D11" s="122">
        <v>1823.894</v>
      </c>
      <c r="E11" s="122">
        <v>1929.2660000000001</v>
      </c>
      <c r="F11" s="122">
        <v>2053.4110000000001</v>
      </c>
      <c r="G11" s="128">
        <v>1729.569</v>
      </c>
      <c r="H11" s="122">
        <v>2029.94</v>
      </c>
      <c r="I11" s="123">
        <v>1700.441</v>
      </c>
      <c r="J11" s="188"/>
      <c r="K11" s="115" t="s">
        <v>85</v>
      </c>
      <c r="L11" s="30">
        <f t="shared" ref="L11:Q11" si="6">L14+L21</f>
        <v>1217.5439999999999</v>
      </c>
      <c r="M11" s="30">
        <f t="shared" si="6"/>
        <v>3581.8140000000003</v>
      </c>
      <c r="N11" s="30">
        <f t="shared" si="6"/>
        <v>2741.1000000000004</v>
      </c>
      <c r="O11" s="30">
        <f t="shared" si="6"/>
        <v>2790.8</v>
      </c>
      <c r="P11" s="134">
        <f t="shared" si="6"/>
        <v>2262.2269999999999</v>
      </c>
      <c r="Q11" s="134">
        <f t="shared" si="6"/>
        <v>2065.174</v>
      </c>
      <c r="R11" s="134">
        <f>R14+R21</f>
        <v>3757.09</v>
      </c>
      <c r="X11" s="1"/>
      <c r="Y11" s="1"/>
    </row>
    <row r="12" spans="1:25" ht="12" customHeight="1" thickBot="1" x14ac:dyDescent="0.3">
      <c r="B12" s="12" t="s">
        <v>21</v>
      </c>
      <c r="C12" s="122">
        <v>2414.6909999999998</v>
      </c>
      <c r="D12" s="122">
        <v>2134.241</v>
      </c>
      <c r="E12" s="122">
        <v>2204.0210000000002</v>
      </c>
      <c r="F12" s="122">
        <v>2503.1390000000001</v>
      </c>
      <c r="G12" s="127">
        <f>6375.359+1813.069</f>
        <v>8188.4279999999999</v>
      </c>
      <c r="H12" s="122">
        <f>6002.346+2153.709</f>
        <v>8156.0549999999994</v>
      </c>
      <c r="I12" s="123">
        <f>4464.015+1433.078</f>
        <v>5897.0930000000008</v>
      </c>
      <c r="J12" s="188"/>
      <c r="P12" s="83"/>
      <c r="Q12" s="83"/>
      <c r="R12" s="83"/>
      <c r="S12" s="83"/>
      <c r="T12" s="83"/>
      <c r="U12" s="83"/>
      <c r="V12" s="83"/>
      <c r="W12" s="83"/>
      <c r="X12" s="1"/>
      <c r="Y12" s="1"/>
    </row>
    <row r="13" spans="1:25" ht="15" customHeight="1" thickBot="1" x14ac:dyDescent="0.3">
      <c r="B13" s="10" t="s">
        <v>23</v>
      </c>
      <c r="C13" s="18">
        <f t="shared" ref="C13:F13" si="7">(C5-C8)</f>
        <v>2340.1200000000008</v>
      </c>
      <c r="D13" s="18">
        <f t="shared" si="7"/>
        <v>1201.7149999999992</v>
      </c>
      <c r="E13" s="18">
        <f t="shared" si="7"/>
        <v>1565.83</v>
      </c>
      <c r="F13" s="18">
        <f t="shared" si="7"/>
        <v>2102.3950000000004</v>
      </c>
      <c r="G13" s="18">
        <f>(G5-G8)</f>
        <v>2674.4799999999996</v>
      </c>
      <c r="H13" s="18">
        <f>(H5-H8)</f>
        <v>2983.3960000000006</v>
      </c>
      <c r="I13" s="26">
        <f>(I5-I8)</f>
        <v>2127.1049999999996</v>
      </c>
      <c r="J13" s="188"/>
      <c r="K13" s="46" t="s">
        <v>16</v>
      </c>
      <c r="L13" s="46">
        <f t="shared" ref="L13:Q13" si="8">SUM(L14:L18)</f>
        <v>474.53900000000004</v>
      </c>
      <c r="M13" s="84">
        <f t="shared" si="8"/>
        <v>2549.933</v>
      </c>
      <c r="N13" s="39">
        <f t="shared" si="8"/>
        <v>2167.0000000000005</v>
      </c>
      <c r="O13" s="39">
        <f t="shared" si="8"/>
        <v>1752.7</v>
      </c>
      <c r="P13" s="79">
        <f t="shared" si="8"/>
        <v>1460.8029999999999</v>
      </c>
      <c r="Q13" s="79">
        <f t="shared" si="8"/>
        <v>613.96900000000005</v>
      </c>
      <c r="R13" s="164">
        <f t="shared" ref="R13" si="9">SUM(R14:R18)</f>
        <v>1457.0779999999997</v>
      </c>
      <c r="X13" s="1"/>
      <c r="Y13" s="1"/>
    </row>
    <row r="14" spans="1:25" ht="15" customHeight="1" x14ac:dyDescent="0.25">
      <c r="B14" s="9" t="s">
        <v>9</v>
      </c>
      <c r="C14" s="121"/>
      <c r="D14" s="125">
        <f t="shared" ref="D14:F14" si="10">D13/C13-1</f>
        <v>-0.48647291591884223</v>
      </c>
      <c r="E14" s="125">
        <f t="shared" si="10"/>
        <v>0.30299613469083853</v>
      </c>
      <c r="F14" s="125">
        <f t="shared" si="10"/>
        <v>0.34267129892772563</v>
      </c>
      <c r="G14" s="125">
        <f>G13/F13-1</f>
        <v>0.2721110923494392</v>
      </c>
      <c r="H14" s="125">
        <f>H13/G13-1</f>
        <v>0.11550507014447708</v>
      </c>
      <c r="I14" s="150"/>
      <c r="J14" s="188"/>
      <c r="K14" s="43" t="s">
        <v>18</v>
      </c>
      <c r="L14" s="44">
        <v>228.64400000000001</v>
      </c>
      <c r="M14" s="44">
        <v>1865.616</v>
      </c>
      <c r="N14" s="45">
        <v>1482.9</v>
      </c>
      <c r="O14" s="45">
        <v>1220</v>
      </c>
      <c r="P14" s="85">
        <v>910.572</v>
      </c>
      <c r="Q14" s="85">
        <v>265.46899999999999</v>
      </c>
      <c r="R14" s="154">
        <v>1001.179</v>
      </c>
      <c r="X14" s="1"/>
      <c r="Y14" s="1"/>
    </row>
    <row r="15" spans="1:25" ht="15" customHeight="1" x14ac:dyDescent="0.25">
      <c r="B15" s="9" t="s">
        <v>11</v>
      </c>
      <c r="C15" s="121"/>
      <c r="D15" s="125"/>
      <c r="E15" s="125"/>
      <c r="F15" s="125">
        <f>+(F13/C13)^(1/3)-1</f>
        <v>-3.5078324618514789E-2</v>
      </c>
      <c r="G15" s="125">
        <f>+(G13/D13)^(1/3)-1</f>
        <v>0.30560746373218195</v>
      </c>
      <c r="H15" s="125">
        <f>+(H13/E13)^(1/3)-1</f>
        <v>0.23971569038529483</v>
      </c>
      <c r="I15" s="150"/>
      <c r="J15" s="188"/>
      <c r="K15" s="41" t="s">
        <v>20</v>
      </c>
      <c r="L15" s="42" t="s">
        <v>81</v>
      </c>
      <c r="M15" s="42" t="s">
        <v>81</v>
      </c>
      <c r="N15" s="37">
        <v>277.7</v>
      </c>
      <c r="O15" s="38">
        <v>247.4</v>
      </c>
      <c r="P15" s="86">
        <v>203.892</v>
      </c>
      <c r="Q15" s="86">
        <v>103.75</v>
      </c>
      <c r="R15" s="155">
        <v>195.208</v>
      </c>
      <c r="S15" s="1"/>
      <c r="T15" s="1"/>
      <c r="U15" s="1"/>
      <c r="V15" s="1"/>
      <c r="W15" s="1"/>
      <c r="X15" s="1"/>
      <c r="Y15" s="1"/>
    </row>
    <row r="16" spans="1:25" ht="15" customHeight="1" x14ac:dyDescent="0.25">
      <c r="B16" s="10" t="s">
        <v>27</v>
      </c>
      <c r="C16" s="17">
        <f t="shared" ref="C16:H16" si="11">(C13/C5)</f>
        <v>0.20235057046964203</v>
      </c>
      <c r="D16" s="17">
        <f t="shared" si="11"/>
        <v>0.13221827747161577</v>
      </c>
      <c r="E16" s="17">
        <f t="shared" si="11"/>
        <v>0.15739664622298508</v>
      </c>
      <c r="F16" s="17">
        <f t="shared" si="11"/>
        <v>0.17797634053564712</v>
      </c>
      <c r="G16" s="17">
        <f t="shared" si="11"/>
        <v>0.1665866376274098</v>
      </c>
      <c r="H16" s="17">
        <f t="shared" si="11"/>
        <v>0.1792471274098269</v>
      </c>
      <c r="I16" s="149">
        <f>(I13/I5)</f>
        <v>0.17223333995944171</v>
      </c>
      <c r="J16" s="188"/>
      <c r="K16" s="41" t="s">
        <v>22</v>
      </c>
      <c r="L16" s="42" t="s">
        <v>81</v>
      </c>
      <c r="M16" s="40">
        <v>231.67099999999999</v>
      </c>
      <c r="N16" s="37">
        <v>0.2</v>
      </c>
      <c r="O16" s="37"/>
      <c r="P16" s="87">
        <v>9.5969999999999995</v>
      </c>
      <c r="Q16" s="87">
        <v>9.2349999999999994</v>
      </c>
      <c r="R16" s="155">
        <v>8.2829999999999995</v>
      </c>
      <c r="S16" s="1"/>
      <c r="T16" s="1"/>
      <c r="U16" s="1"/>
      <c r="V16" s="1"/>
      <c r="W16" s="1"/>
      <c r="X16" s="1"/>
      <c r="Y16" s="1"/>
    </row>
    <row r="17" spans="2:25" ht="15" customHeight="1" x14ac:dyDescent="0.25">
      <c r="B17" s="12" t="s">
        <v>29</v>
      </c>
      <c r="C17" s="122">
        <v>206.46799999999999</v>
      </c>
      <c r="D17" s="122">
        <v>153.12299999999999</v>
      </c>
      <c r="E17" s="122">
        <v>94.620999999999995</v>
      </c>
      <c r="F17" s="122">
        <v>85.914000000000001</v>
      </c>
      <c r="G17" s="122">
        <v>239.553</v>
      </c>
      <c r="H17" s="122">
        <v>282.09399999999999</v>
      </c>
      <c r="I17" s="123">
        <v>315.60899999999998</v>
      </c>
      <c r="J17" s="188"/>
      <c r="K17" s="41" t="s">
        <v>24</v>
      </c>
      <c r="L17" s="40">
        <v>151.05199999999999</v>
      </c>
      <c r="M17" s="40">
        <v>375.73500000000001</v>
      </c>
      <c r="N17" s="37">
        <v>380.9</v>
      </c>
      <c r="O17" s="37">
        <v>265.3</v>
      </c>
      <c r="P17" s="87">
        <v>241.93600000000001</v>
      </c>
      <c r="Q17" s="87">
        <v>177.09100000000001</v>
      </c>
      <c r="R17" s="155">
        <v>196.667</v>
      </c>
      <c r="S17" s="1"/>
      <c r="T17" s="1"/>
      <c r="U17" s="1"/>
      <c r="V17" s="1"/>
      <c r="W17" s="1"/>
      <c r="X17" s="1"/>
      <c r="Y17" s="1"/>
    </row>
    <row r="18" spans="2:25" ht="15" customHeight="1" thickBot="1" x14ac:dyDescent="0.3">
      <c r="B18" s="12" t="s">
        <v>31</v>
      </c>
      <c r="C18" s="122">
        <v>194.19300000000001</v>
      </c>
      <c r="D18" s="122">
        <v>372.64699999999999</v>
      </c>
      <c r="E18" s="122">
        <v>369.49900000000002</v>
      </c>
      <c r="F18" s="122">
        <v>372.637</v>
      </c>
      <c r="G18" s="122">
        <v>278.65100000000001</v>
      </c>
      <c r="H18" s="122">
        <v>301.19499999999999</v>
      </c>
      <c r="I18" s="123">
        <v>240.07599999999999</v>
      </c>
      <c r="J18" s="188"/>
      <c r="K18" s="47" t="s">
        <v>25</v>
      </c>
      <c r="L18" s="48">
        <v>94.843000000000004</v>
      </c>
      <c r="M18" s="48">
        <v>76.911000000000001</v>
      </c>
      <c r="N18" s="49">
        <v>25.3</v>
      </c>
      <c r="O18" s="49">
        <v>20</v>
      </c>
      <c r="P18" s="88">
        <v>94.805999999999997</v>
      </c>
      <c r="Q18" s="88">
        <v>58.423999999999999</v>
      </c>
      <c r="R18" s="156">
        <v>55.741</v>
      </c>
      <c r="S18" s="1"/>
      <c r="T18" s="1"/>
      <c r="U18" s="1"/>
      <c r="V18" s="1"/>
      <c r="W18" s="1"/>
      <c r="X18" s="1"/>
      <c r="Y18" s="1"/>
    </row>
    <row r="19" spans="2:25" ht="15" customHeight="1" thickBot="1" x14ac:dyDescent="0.3">
      <c r="B19" s="12" t="s">
        <v>32</v>
      </c>
      <c r="C19" s="122">
        <v>131.239</v>
      </c>
      <c r="D19" s="122">
        <v>209.922</v>
      </c>
      <c r="E19" s="122">
        <v>225.036</v>
      </c>
      <c r="F19" s="122">
        <v>198.56800000000001</v>
      </c>
      <c r="G19" s="122">
        <v>237.42500000000001</v>
      </c>
      <c r="H19" s="122">
        <v>308.38299999999998</v>
      </c>
      <c r="I19" s="123">
        <v>274.08199999999999</v>
      </c>
      <c r="J19" s="188"/>
      <c r="K19" s="46" t="s">
        <v>26</v>
      </c>
      <c r="L19" s="46">
        <f t="shared" ref="L19:O19" si="12">SUM(L20:L27)</f>
        <v>5648.32</v>
      </c>
      <c r="M19" s="46">
        <f t="shared" si="12"/>
        <v>6734.2020000000002</v>
      </c>
      <c r="N19" s="39">
        <f t="shared" si="12"/>
        <v>7102.0000000000009</v>
      </c>
      <c r="O19" s="39">
        <f t="shared" si="12"/>
        <v>9264.7999999999993</v>
      </c>
      <c r="P19" s="79">
        <f>SUM(P20:P27)</f>
        <v>11434.76</v>
      </c>
      <c r="Q19" s="79">
        <f>(SUM(Q20:Q27))</f>
        <v>10102.334000000003</v>
      </c>
      <c r="R19" s="79">
        <f>(SUM(R20:R27))</f>
        <v>9913.2480000000014</v>
      </c>
      <c r="S19" s="1"/>
      <c r="T19" s="1"/>
      <c r="U19" s="1"/>
      <c r="V19" s="1"/>
      <c r="W19" s="1"/>
      <c r="X19" s="1"/>
      <c r="Y19" s="1"/>
    </row>
    <row r="20" spans="2:25" ht="15" customHeight="1" x14ac:dyDescent="0.25">
      <c r="B20" s="12" t="s">
        <v>34</v>
      </c>
      <c r="C20" s="122">
        <v>0</v>
      </c>
      <c r="D20" s="122">
        <v>0</v>
      </c>
      <c r="E20" s="122">
        <v>0</v>
      </c>
      <c r="F20" s="122">
        <v>0</v>
      </c>
      <c r="G20" s="122">
        <v>0</v>
      </c>
      <c r="H20" s="122">
        <v>0</v>
      </c>
      <c r="I20" s="123">
        <v>0</v>
      </c>
      <c r="J20" s="188"/>
      <c r="K20" s="43" t="s">
        <v>28</v>
      </c>
      <c r="L20" s="44">
        <v>1702.1020000000001</v>
      </c>
      <c r="M20" s="44">
        <v>1677.654</v>
      </c>
      <c r="N20" s="53">
        <v>2280.6</v>
      </c>
      <c r="O20" s="45">
        <v>2844.4</v>
      </c>
      <c r="P20" s="85">
        <v>4205.8590000000004</v>
      </c>
      <c r="Q20" s="85">
        <v>2478.1370000000002</v>
      </c>
      <c r="R20" s="154">
        <v>2317.0279999999998</v>
      </c>
      <c r="S20" s="1"/>
      <c r="T20" s="1"/>
      <c r="U20" s="1"/>
      <c r="V20" s="1"/>
      <c r="W20" s="1"/>
      <c r="X20" s="1"/>
      <c r="Y20" s="1"/>
    </row>
    <row r="21" spans="2:25" ht="15" customHeight="1" x14ac:dyDescent="0.25">
      <c r="B21" s="10" t="s">
        <v>35</v>
      </c>
      <c r="C21" s="18">
        <f t="shared" ref="C21:H21" si="13">C13+C17-C18-C19</f>
        <v>2221.1560000000004</v>
      </c>
      <c r="D21" s="18">
        <f t="shared" si="13"/>
        <v>772.26899999999932</v>
      </c>
      <c r="E21" s="18">
        <f t="shared" si="13"/>
        <v>1065.9159999999999</v>
      </c>
      <c r="F21" s="18">
        <f t="shared" si="13"/>
        <v>1617.1040000000007</v>
      </c>
      <c r="G21" s="18">
        <f t="shared" si="13"/>
        <v>2397.9569999999994</v>
      </c>
      <c r="H21" s="18">
        <f t="shared" si="13"/>
        <v>2655.9120000000007</v>
      </c>
      <c r="I21" s="26">
        <f>I13+I17-I18-I19</f>
        <v>1928.5559999999996</v>
      </c>
      <c r="J21" s="188"/>
      <c r="K21" s="41" t="s">
        <v>30</v>
      </c>
      <c r="L21" s="40">
        <v>988.9</v>
      </c>
      <c r="M21" s="40">
        <v>1716.1980000000001</v>
      </c>
      <c r="N21" s="37">
        <v>1258.2</v>
      </c>
      <c r="O21" s="37">
        <v>1570.8</v>
      </c>
      <c r="P21" s="87">
        <v>1351.655</v>
      </c>
      <c r="Q21" s="87">
        <v>1799.7049999999999</v>
      </c>
      <c r="R21" s="155">
        <v>2755.9110000000001</v>
      </c>
      <c r="S21" s="1"/>
      <c r="T21" s="1"/>
      <c r="U21" s="1"/>
      <c r="V21" s="1"/>
      <c r="W21" s="1"/>
      <c r="X21" s="1"/>
      <c r="Y21" s="1"/>
    </row>
    <row r="22" spans="2:25" ht="15" customHeight="1" x14ac:dyDescent="0.25">
      <c r="B22" s="13" t="s">
        <v>37</v>
      </c>
      <c r="C22" s="19">
        <v>7.6150000000000002</v>
      </c>
      <c r="D22" s="19">
        <v>11.317</v>
      </c>
      <c r="E22" s="19">
        <v>21.651</v>
      </c>
      <c r="F22" s="19">
        <v>13.488</v>
      </c>
      <c r="G22" s="19">
        <v>26.806000000000001</v>
      </c>
      <c r="H22" s="19">
        <v>52.567</v>
      </c>
      <c r="I22" s="123">
        <v>89.947000000000003</v>
      </c>
      <c r="J22" s="188"/>
      <c r="K22" s="41" t="s">
        <v>20</v>
      </c>
      <c r="L22" s="40"/>
      <c r="M22" s="40"/>
      <c r="N22" s="37">
        <v>99.2</v>
      </c>
      <c r="O22" s="37">
        <v>128.5</v>
      </c>
      <c r="P22" s="87">
        <v>111.81</v>
      </c>
      <c r="Q22" s="87">
        <v>34.792000000000002</v>
      </c>
      <c r="R22" s="155">
        <v>78.724999999999994</v>
      </c>
      <c r="S22" s="1"/>
      <c r="T22" s="1"/>
      <c r="U22" s="1"/>
      <c r="V22" s="1"/>
      <c r="W22" s="1"/>
      <c r="X22" s="1"/>
      <c r="Y22" s="1"/>
    </row>
    <row r="23" spans="2:25" ht="15" customHeight="1" x14ac:dyDescent="0.25">
      <c r="B23" s="10" t="s">
        <v>39</v>
      </c>
      <c r="C23" s="18">
        <f t="shared" ref="C23:H23" si="14">C21+C22</f>
        <v>2228.7710000000002</v>
      </c>
      <c r="D23" s="18">
        <f t="shared" si="14"/>
        <v>783.58599999999933</v>
      </c>
      <c r="E23" s="18">
        <f t="shared" si="14"/>
        <v>1087.567</v>
      </c>
      <c r="F23" s="18">
        <f t="shared" si="14"/>
        <v>1630.5920000000008</v>
      </c>
      <c r="G23" s="18">
        <f t="shared" si="14"/>
        <v>2424.7629999999995</v>
      </c>
      <c r="H23" s="18">
        <f t="shared" si="14"/>
        <v>2708.4790000000007</v>
      </c>
      <c r="I23" s="26">
        <f>I21+I22</f>
        <v>2018.5029999999997</v>
      </c>
      <c r="J23" s="188"/>
      <c r="K23" s="41" t="s">
        <v>33</v>
      </c>
      <c r="L23" s="40">
        <f>57.403+2099.832</f>
        <v>2157.2349999999997</v>
      </c>
      <c r="M23" s="40">
        <f>128.447+2115.846</f>
        <v>2244.2930000000001</v>
      </c>
      <c r="N23" s="37">
        <v>2522.6</v>
      </c>
      <c r="O23" s="37">
        <v>3863.8</v>
      </c>
      <c r="P23" s="87">
        <f>4608.198+106.818</f>
        <v>4715.0160000000005</v>
      </c>
      <c r="Q23" s="87">
        <f>150.295+4440.489</f>
        <v>4590.7839999999997</v>
      </c>
      <c r="R23" s="155">
        <f>387.201+3217.375</f>
        <v>3604.576</v>
      </c>
      <c r="S23" s="1"/>
      <c r="T23" s="1"/>
      <c r="U23" s="1"/>
      <c r="V23" s="1"/>
      <c r="W23" s="1"/>
      <c r="X23" s="1"/>
      <c r="Y23" s="1"/>
    </row>
    <row r="24" spans="2:25" ht="15" customHeight="1" x14ac:dyDescent="0.25">
      <c r="B24" s="12" t="s">
        <v>41</v>
      </c>
      <c r="C24" s="122">
        <v>655.51900000000001</v>
      </c>
      <c r="D24" s="122">
        <v>227.964</v>
      </c>
      <c r="E24" s="122">
        <v>305.01900000000001</v>
      </c>
      <c r="F24" s="122">
        <v>450.45</v>
      </c>
      <c r="G24" s="122">
        <v>646.06299999999999</v>
      </c>
      <c r="H24" s="122">
        <v>778.32500000000005</v>
      </c>
      <c r="I24" s="123">
        <v>514.70399999999995</v>
      </c>
      <c r="J24" s="188"/>
      <c r="K24" s="41" t="s">
        <v>22</v>
      </c>
      <c r="L24" s="40">
        <v>326.34500000000003</v>
      </c>
      <c r="M24" s="40">
        <v>667.07899999999995</v>
      </c>
      <c r="N24" s="37">
        <v>190.3</v>
      </c>
      <c r="O24" s="37">
        <v>199.4</v>
      </c>
      <c r="P24" s="87">
        <v>260.58</v>
      </c>
      <c r="Q24" s="87">
        <v>221.102</v>
      </c>
      <c r="R24" s="155">
        <v>292.40800000000002</v>
      </c>
      <c r="S24" s="1"/>
      <c r="T24" s="1"/>
      <c r="U24" s="1"/>
      <c r="V24" s="1"/>
      <c r="W24" s="1"/>
      <c r="X24" s="1"/>
      <c r="Y24" s="1"/>
    </row>
    <row r="25" spans="2:25" ht="15" customHeight="1" x14ac:dyDescent="0.25">
      <c r="B25" s="20" t="s">
        <v>43</v>
      </c>
      <c r="C25" s="21">
        <f t="shared" ref="C25:F25" si="15">(C24/C21)</f>
        <v>0.2951251510474725</v>
      </c>
      <c r="D25" s="21">
        <f t="shared" si="15"/>
        <v>0.29518729872622129</v>
      </c>
      <c r="E25" s="21">
        <f t="shared" si="15"/>
        <v>0.28615669527429932</v>
      </c>
      <c r="F25" s="21">
        <f t="shared" si="15"/>
        <v>0.27855351294660069</v>
      </c>
      <c r="G25" s="21">
        <f>(G24/G21)</f>
        <v>0.26942226236750705</v>
      </c>
      <c r="H25" s="21">
        <f>(H24/H21)</f>
        <v>0.29305376081737644</v>
      </c>
      <c r="I25" s="21">
        <f>(I24/I21)</f>
        <v>0.2668856906410807</v>
      </c>
      <c r="J25" s="188"/>
      <c r="K25" s="41" t="s">
        <v>36</v>
      </c>
      <c r="L25" s="40">
        <v>91.5</v>
      </c>
      <c r="M25" s="40">
        <v>99.423000000000002</v>
      </c>
      <c r="N25" s="37">
        <v>181.1</v>
      </c>
      <c r="O25" s="37">
        <v>164.3</v>
      </c>
      <c r="P25" s="87">
        <v>289.13200000000001</v>
      </c>
      <c r="Q25" s="87">
        <v>412.13600000000002</v>
      </c>
      <c r="R25" s="155">
        <v>181.07300000000001</v>
      </c>
      <c r="S25" s="1"/>
      <c r="T25" s="1"/>
      <c r="U25" s="1"/>
      <c r="V25" s="1"/>
      <c r="W25" s="1"/>
      <c r="X25" s="1"/>
      <c r="Y25" s="1"/>
    </row>
    <row r="26" spans="2:25" ht="15" customHeight="1" x14ac:dyDescent="0.25">
      <c r="B26" s="23" t="s">
        <v>45</v>
      </c>
      <c r="C26" s="24">
        <f t="shared" ref="C26:F26" si="16">C23-C24</f>
        <v>1573.2520000000002</v>
      </c>
      <c r="D26" s="24">
        <f t="shared" si="16"/>
        <v>555.62199999999939</v>
      </c>
      <c r="E26" s="24">
        <f t="shared" si="16"/>
        <v>782.548</v>
      </c>
      <c r="F26" s="24">
        <f t="shared" si="16"/>
        <v>1180.1420000000007</v>
      </c>
      <c r="G26" s="24">
        <v>1778.7</v>
      </c>
      <c r="H26" s="24">
        <v>1930.154</v>
      </c>
      <c r="I26" s="26">
        <f>I23-I24</f>
        <v>1503.7989999999998</v>
      </c>
      <c r="J26" s="188"/>
      <c r="K26" s="41" t="s">
        <v>38</v>
      </c>
      <c r="L26" s="40">
        <v>103.57599999999999</v>
      </c>
      <c r="M26" s="40">
        <v>66.843999999999994</v>
      </c>
      <c r="N26" s="37">
        <v>109.7</v>
      </c>
      <c r="O26" s="37">
        <v>120.2</v>
      </c>
      <c r="P26" s="87">
        <v>117.691</v>
      </c>
      <c r="Q26" s="87">
        <v>136.29499999999999</v>
      </c>
      <c r="R26" s="155">
        <v>148.62200000000001</v>
      </c>
      <c r="S26" s="1"/>
      <c r="T26" s="1"/>
      <c r="U26" s="1"/>
      <c r="V26" s="1"/>
      <c r="W26" s="1"/>
      <c r="X26" s="1"/>
      <c r="Y26" s="1"/>
    </row>
    <row r="27" spans="2:25" ht="15" customHeight="1" thickBot="1" x14ac:dyDescent="0.3">
      <c r="B27" s="10" t="s">
        <v>46</v>
      </c>
      <c r="C27" s="17">
        <f t="shared" ref="C27:F27" si="17">C26/C5</f>
        <v>0.13603936537122249</v>
      </c>
      <c r="D27" s="17">
        <f t="shared" si="17"/>
        <v>6.1132118485110083E-2</v>
      </c>
      <c r="E27" s="17">
        <f t="shared" si="17"/>
        <v>7.8661432408693499E-2</v>
      </c>
      <c r="F27" s="17">
        <f t="shared" si="17"/>
        <v>9.9903849881882209E-2</v>
      </c>
      <c r="G27" s="17">
        <f>G26/G5</f>
        <v>0.11079075272496855</v>
      </c>
      <c r="H27" s="17">
        <f>H26/H5</f>
        <v>0.11596669029474697</v>
      </c>
      <c r="I27" s="149">
        <f>I26/I5</f>
        <v>0.12176377019360515</v>
      </c>
      <c r="J27" s="188"/>
      <c r="K27" s="50" t="s">
        <v>40</v>
      </c>
      <c r="L27" s="51">
        <v>278.66199999999998</v>
      </c>
      <c r="M27" s="51">
        <v>262.71100000000001</v>
      </c>
      <c r="N27" s="52">
        <v>460.3</v>
      </c>
      <c r="O27" s="52">
        <v>373.4</v>
      </c>
      <c r="P27" s="89">
        <v>383.017</v>
      </c>
      <c r="Q27" s="89">
        <v>429.38299999999998</v>
      </c>
      <c r="R27" s="157">
        <v>534.90499999999997</v>
      </c>
      <c r="S27" s="1"/>
      <c r="T27" s="1"/>
      <c r="U27" s="1"/>
      <c r="V27" s="1"/>
      <c r="W27" s="1"/>
      <c r="X27" s="1"/>
      <c r="Y27" s="1"/>
    </row>
    <row r="28" spans="2:25" ht="15" customHeight="1" thickBot="1" x14ac:dyDescent="0.3">
      <c r="B28" s="116" t="s">
        <v>48</v>
      </c>
      <c r="C28" s="123"/>
      <c r="D28" s="123">
        <v>-17.23</v>
      </c>
      <c r="E28" s="123">
        <v>204.34200000000001</v>
      </c>
      <c r="F28" s="123">
        <v>2.0379999999999998</v>
      </c>
      <c r="G28" s="123">
        <v>418.07400000000001</v>
      </c>
      <c r="H28" s="123">
        <f>84.041+4823.463</f>
        <v>4907.5039999999999</v>
      </c>
      <c r="I28" s="123">
        <v>-0.58099999999999996</v>
      </c>
      <c r="J28" s="188"/>
      <c r="K28" s="46" t="s">
        <v>42</v>
      </c>
      <c r="L28" s="46">
        <f>L19+L13</f>
        <v>6122.8589999999995</v>
      </c>
      <c r="M28" s="81">
        <f>M19+M13</f>
        <v>9284.1350000000002</v>
      </c>
      <c r="N28" s="39">
        <f>N19+N13</f>
        <v>9269.0000000000018</v>
      </c>
      <c r="O28" s="39">
        <f>O19+O13</f>
        <v>11017.5</v>
      </c>
      <c r="P28" s="79">
        <f>(P19+P13)</f>
        <v>12895.563</v>
      </c>
      <c r="Q28" s="79">
        <f>(Q19+Q13)</f>
        <v>10716.303000000004</v>
      </c>
      <c r="R28" s="164">
        <f>(R19+R13)</f>
        <v>11370.326000000001</v>
      </c>
      <c r="S28" s="1"/>
      <c r="T28" s="1"/>
      <c r="U28" s="1"/>
      <c r="V28" s="1"/>
      <c r="W28" s="1"/>
      <c r="X28" s="1"/>
      <c r="Y28" s="1"/>
    </row>
    <row r="29" spans="2:25" ht="15" customHeight="1" thickBot="1" x14ac:dyDescent="0.3">
      <c r="B29" s="10" t="s">
        <v>50</v>
      </c>
      <c r="C29" s="18"/>
      <c r="D29" s="18">
        <f t="shared" ref="D29:H29" si="18">D26+D28</f>
        <v>538.39199999999937</v>
      </c>
      <c r="E29" s="18">
        <f t="shared" si="18"/>
        <v>986.89</v>
      </c>
      <c r="F29" s="18">
        <f t="shared" si="18"/>
        <v>1182.1800000000007</v>
      </c>
      <c r="G29" s="126">
        <f>G26+G28</f>
        <v>2196.7739999999999</v>
      </c>
      <c r="H29" s="18">
        <f t="shared" si="18"/>
        <v>6837.6579999999994</v>
      </c>
      <c r="I29" s="26">
        <f t="shared" ref="I29" si="19">I26+I28</f>
        <v>1503.2179999999998</v>
      </c>
      <c r="J29" s="188"/>
      <c r="K29" s="54" t="s">
        <v>44</v>
      </c>
      <c r="L29" s="54">
        <f>L28+L5</f>
        <v>10503.705999999998</v>
      </c>
      <c r="M29" s="82">
        <f>M28+M5</f>
        <v>14097.031999999999</v>
      </c>
      <c r="N29" s="55">
        <f>N28+N5</f>
        <v>15167.900000000001</v>
      </c>
      <c r="O29" s="55">
        <f>O28+O5</f>
        <v>18073.8</v>
      </c>
      <c r="P29" s="80">
        <f>(P28+P5)</f>
        <v>22024.190000000002</v>
      </c>
      <c r="Q29" s="80">
        <f>(Q28+Q5)</f>
        <v>26279.599000000002</v>
      </c>
      <c r="R29" s="165">
        <f>(R28+R5)</f>
        <v>28279.276000000002</v>
      </c>
      <c r="S29" s="3"/>
      <c r="T29" s="3"/>
      <c r="U29" s="3"/>
      <c r="V29" s="3"/>
      <c r="W29" s="3"/>
      <c r="X29" s="3"/>
      <c r="Y29" s="3"/>
    </row>
    <row r="30" spans="2:25" ht="15" customHeight="1" thickBot="1" x14ac:dyDescent="0.3">
      <c r="B30" s="12" t="s">
        <v>52</v>
      </c>
      <c r="C30" s="122">
        <f>-117</f>
        <v>-117</v>
      </c>
      <c r="D30" s="122">
        <v>-32.485999999999997</v>
      </c>
      <c r="E30" s="122">
        <v>139.828</v>
      </c>
      <c r="F30" s="122">
        <v>72.882000000000005</v>
      </c>
      <c r="G30" s="122">
        <v>-125.262</v>
      </c>
      <c r="H30" s="122">
        <v>99.247</v>
      </c>
      <c r="I30" s="123">
        <v>-150.477</v>
      </c>
      <c r="J30" s="188"/>
      <c r="K30" s="1"/>
      <c r="L30" s="1"/>
      <c r="M30" s="1"/>
      <c r="N30" s="1"/>
      <c r="O30" s="1"/>
      <c r="P30" s="3"/>
      <c r="Q30" s="3"/>
      <c r="R30" s="3"/>
      <c r="S30" s="3"/>
      <c r="T30" s="3"/>
      <c r="U30" s="3"/>
      <c r="V30" s="3"/>
      <c r="W30" s="3"/>
      <c r="X30" s="3"/>
      <c r="Y30" s="1"/>
    </row>
    <row r="31" spans="2:25" ht="15" customHeight="1" thickBot="1" x14ac:dyDescent="0.3">
      <c r="B31" s="10" t="s">
        <v>54</v>
      </c>
      <c r="C31" s="18">
        <f>C26+C30</f>
        <v>1456.2520000000002</v>
      </c>
      <c r="D31" s="18">
        <f t="shared" ref="D31:F31" si="20">D29+D30</f>
        <v>505.90599999999938</v>
      </c>
      <c r="E31" s="18">
        <f t="shared" si="20"/>
        <v>1126.7180000000001</v>
      </c>
      <c r="F31" s="18">
        <f t="shared" si="20"/>
        <v>1255.0620000000008</v>
      </c>
      <c r="G31" s="18">
        <f>G29+G30</f>
        <v>2071.5119999999997</v>
      </c>
      <c r="H31" s="18">
        <f>H29+H30</f>
        <v>6936.9049999999997</v>
      </c>
      <c r="I31" s="26">
        <f>I29+I30</f>
        <v>1352.7409999999998</v>
      </c>
      <c r="J31" s="188"/>
      <c r="K31" s="46" t="s">
        <v>47</v>
      </c>
      <c r="L31" s="46">
        <f t="shared" ref="L31:O31" si="21">SUM(L32:L43)</f>
        <v>3275.24</v>
      </c>
      <c r="M31" s="81">
        <f t="shared" si="21"/>
        <v>5862.0630000000001</v>
      </c>
      <c r="N31" s="39">
        <f t="shared" si="21"/>
        <v>5504.9999999999991</v>
      </c>
      <c r="O31" s="39">
        <f t="shared" si="21"/>
        <v>5578.6</v>
      </c>
      <c r="P31" s="79">
        <f>(SUM(P32:P43))</f>
        <v>6084.1689999999999</v>
      </c>
      <c r="Q31" s="79">
        <f>(SUM(Q32:Q43))</f>
        <v>7023.4919999999984</v>
      </c>
      <c r="R31" s="164">
        <f>(SUM(R32:R43))</f>
        <v>7982.5720000000001</v>
      </c>
      <c r="S31" s="1"/>
      <c r="T31" s="1"/>
      <c r="U31" s="1"/>
      <c r="V31" s="1"/>
      <c r="W31" s="1"/>
      <c r="X31" s="1"/>
      <c r="Y31" s="1"/>
    </row>
    <row r="32" spans="2:25" ht="15" customHeight="1" x14ac:dyDescent="0.25">
      <c r="B32" s="9" t="s">
        <v>9</v>
      </c>
      <c r="C32" s="125"/>
      <c r="D32" s="125">
        <f t="shared" ref="D32:F32" si="22">D31/C31-1</f>
        <v>-0.65259721531712966</v>
      </c>
      <c r="E32" s="125">
        <f t="shared" si="22"/>
        <v>1.2271291504745969</v>
      </c>
      <c r="F32" s="125">
        <f t="shared" si="22"/>
        <v>0.11390960293525154</v>
      </c>
      <c r="G32" s="125">
        <f>G31/F31-1</f>
        <v>0.65052563140306874</v>
      </c>
      <c r="H32" s="125">
        <f>H31/G31-1</f>
        <v>2.3487158172388094</v>
      </c>
      <c r="I32" s="150"/>
      <c r="J32" s="188"/>
      <c r="K32" s="43" t="s">
        <v>49</v>
      </c>
      <c r="L32" s="44">
        <v>1282.8150000000001</v>
      </c>
      <c r="M32" s="44">
        <v>3581.0219999999999</v>
      </c>
      <c r="N32" s="45">
        <v>3235.9</v>
      </c>
      <c r="O32" s="45">
        <v>3164.3</v>
      </c>
      <c r="P32" s="85">
        <v>3649.23</v>
      </c>
      <c r="Q32" s="85">
        <v>3415.2730000000001</v>
      </c>
      <c r="R32" s="154">
        <v>3675.57</v>
      </c>
      <c r="S32" s="1"/>
      <c r="T32" s="1"/>
      <c r="U32" s="1"/>
      <c r="V32" s="1"/>
      <c r="W32" s="1"/>
      <c r="X32" s="1"/>
      <c r="Y32" s="1"/>
    </row>
    <row r="33" spans="2:25" ht="15" customHeight="1" x14ac:dyDescent="0.25">
      <c r="B33" s="9" t="s">
        <v>57</v>
      </c>
      <c r="C33" s="125"/>
      <c r="D33" s="125"/>
      <c r="E33" s="125"/>
      <c r="F33" s="125">
        <f>+(F31/C31)^(1/3)-1</f>
        <v>-4.8352271719871553E-2</v>
      </c>
      <c r="G33" s="125">
        <f>+(G31/D31)^(1/3)-1</f>
        <v>0.59982522841975294</v>
      </c>
      <c r="H33" s="125">
        <f>+(H31/E31)^(1/3)-1</f>
        <v>0.83280743583019246</v>
      </c>
      <c r="I33" s="150"/>
      <c r="J33" s="188"/>
      <c r="K33" s="41" t="s">
        <v>51</v>
      </c>
      <c r="L33" s="40">
        <v>6.3769999999999998</v>
      </c>
      <c r="M33" s="40">
        <v>12.03</v>
      </c>
      <c r="N33" s="37">
        <v>5.6</v>
      </c>
      <c r="O33" s="37">
        <v>91.5</v>
      </c>
      <c r="P33" s="87">
        <v>89.977000000000004</v>
      </c>
      <c r="Q33" s="87">
        <v>138.471</v>
      </c>
      <c r="R33" s="155">
        <v>183.14599999999999</v>
      </c>
      <c r="S33" s="1"/>
      <c r="T33" s="1"/>
      <c r="U33" s="1"/>
      <c r="V33" s="1"/>
      <c r="W33" s="1"/>
      <c r="X33" s="1"/>
      <c r="Y33" s="1"/>
    </row>
    <row r="34" spans="2:25" ht="15" customHeight="1" x14ac:dyDescent="0.25">
      <c r="B34" s="25" t="s">
        <v>123</v>
      </c>
      <c r="C34" s="26">
        <v>12.87</v>
      </c>
      <c r="D34" s="26">
        <v>5.75</v>
      </c>
      <c r="E34" s="26">
        <v>8.6199999999999992</v>
      </c>
      <c r="F34" s="26">
        <v>6.54</v>
      </c>
      <c r="G34" s="26">
        <v>16.73</v>
      </c>
      <c r="H34" s="93">
        <v>17.71</v>
      </c>
      <c r="I34" s="93">
        <v>13.34</v>
      </c>
      <c r="J34" s="188"/>
      <c r="K34" s="41" t="s">
        <v>53</v>
      </c>
      <c r="L34" s="40">
        <v>378.33199999999999</v>
      </c>
      <c r="M34" s="40">
        <v>475.83600000000001</v>
      </c>
      <c r="N34" s="37">
        <v>611.70000000000005</v>
      </c>
      <c r="O34" s="37">
        <v>617.9</v>
      </c>
      <c r="P34" s="87">
        <v>550.38199999999995</v>
      </c>
      <c r="Q34" s="87">
        <v>566.11199999999997</v>
      </c>
      <c r="R34" s="155">
        <v>594.62800000000004</v>
      </c>
      <c r="S34" s="1"/>
      <c r="T34" s="1"/>
      <c r="U34" s="1"/>
      <c r="V34" s="1"/>
      <c r="W34" s="1"/>
      <c r="X34" s="1"/>
      <c r="Y34" s="1"/>
    </row>
    <row r="35" spans="2:25" ht="15" customHeight="1" x14ac:dyDescent="0.25">
      <c r="B35" s="9" t="s">
        <v>9</v>
      </c>
      <c r="C35" s="124"/>
      <c r="D35" s="124">
        <f t="shared" ref="D35:F35" si="23">D34/C34-1</f>
        <v>-0.55322455322455322</v>
      </c>
      <c r="E35" s="124">
        <f t="shared" si="23"/>
        <v>0.49913043478260866</v>
      </c>
      <c r="F35" s="124">
        <f t="shared" si="23"/>
        <v>-0.24129930394431542</v>
      </c>
      <c r="G35" s="124">
        <f>G34/F34-1</f>
        <v>1.5581039755351682</v>
      </c>
      <c r="H35" s="124">
        <f>H34/G34-1</f>
        <v>5.8577405857740628E-2</v>
      </c>
      <c r="I35" s="124"/>
      <c r="J35" s="188"/>
      <c r="K35" s="41" t="s">
        <v>55</v>
      </c>
      <c r="L35" s="40">
        <v>96.885999999999996</v>
      </c>
      <c r="M35" s="40">
        <v>434.55099999999999</v>
      </c>
      <c r="N35" s="37">
        <v>437.5</v>
      </c>
      <c r="O35" s="37">
        <v>423.5</v>
      </c>
      <c r="P35" s="87">
        <v>470.62200000000001</v>
      </c>
      <c r="Q35" s="87">
        <v>410.846</v>
      </c>
      <c r="R35" s="155">
        <v>426.23099999999999</v>
      </c>
      <c r="S35" s="1"/>
      <c r="T35" s="1"/>
      <c r="U35" s="1"/>
      <c r="V35" s="1"/>
      <c r="W35" s="1"/>
      <c r="X35" s="1"/>
      <c r="Y35" s="1"/>
    </row>
    <row r="36" spans="2:25" ht="15" customHeight="1" thickBot="1" x14ac:dyDescent="0.3">
      <c r="B36" s="16" t="s">
        <v>11</v>
      </c>
      <c r="C36" s="129"/>
      <c r="D36" s="129"/>
      <c r="E36" s="129"/>
      <c r="F36" s="129">
        <f>+(F34/C34)^(1/3)-1</f>
        <v>-0.20200580184906569</v>
      </c>
      <c r="G36" s="129">
        <f>+(G34/D34)^(1/3)-1</f>
        <v>0.4276092900362809</v>
      </c>
      <c r="H36" s="129">
        <f>+(H34/E34)^(1/3)-1</f>
        <v>0.27126795101459633</v>
      </c>
      <c r="I36" s="129"/>
      <c r="J36" s="188"/>
      <c r="K36" s="41" t="s">
        <v>56</v>
      </c>
      <c r="L36" s="40">
        <v>138.19800000000001</v>
      </c>
      <c r="M36" s="40">
        <v>125.514</v>
      </c>
      <c r="N36" s="37">
        <v>147.19999999999999</v>
      </c>
      <c r="O36" s="37">
        <v>160.69999999999999</v>
      </c>
      <c r="P36" s="87">
        <v>187.46100000000001</v>
      </c>
      <c r="Q36" s="87">
        <v>240.029</v>
      </c>
      <c r="R36" s="155">
        <v>268.18</v>
      </c>
      <c r="S36" s="1"/>
      <c r="T36" s="1"/>
      <c r="U36" s="1"/>
      <c r="V36" s="1"/>
      <c r="W36" s="1"/>
      <c r="X36" s="1"/>
      <c r="Y36" s="1"/>
    </row>
    <row r="37" spans="2:25" ht="15" customHeight="1" thickBot="1" x14ac:dyDescent="0.3">
      <c r="B37" s="187" t="s">
        <v>124</v>
      </c>
      <c r="C37" s="187"/>
      <c r="D37" s="187"/>
      <c r="E37" s="187"/>
      <c r="F37" s="187"/>
      <c r="G37" s="187"/>
      <c r="H37" s="187"/>
      <c r="I37" s="139"/>
      <c r="J37" s="188"/>
      <c r="K37" s="41" t="s">
        <v>58</v>
      </c>
      <c r="L37" s="40">
        <v>2.742</v>
      </c>
      <c r="M37" s="40">
        <v>2.742</v>
      </c>
      <c r="N37" s="37">
        <v>8.4</v>
      </c>
      <c r="O37" s="37">
        <v>8.6999999999999993</v>
      </c>
      <c r="P37" s="87">
        <v>9.766</v>
      </c>
      <c r="Q37" s="87">
        <v>9.766</v>
      </c>
      <c r="R37" s="155">
        <v>9.766</v>
      </c>
      <c r="S37" s="1"/>
      <c r="T37" s="1"/>
      <c r="U37" s="1"/>
      <c r="V37" s="1"/>
      <c r="W37" s="1"/>
      <c r="X37" s="1"/>
      <c r="Y37" s="1"/>
    </row>
    <row r="38" spans="2:25" ht="15" customHeight="1" thickBot="1" x14ac:dyDescent="0.3">
      <c r="B38" s="192" t="s">
        <v>64</v>
      </c>
      <c r="C38" s="193"/>
      <c r="D38" s="193"/>
      <c r="E38" s="193"/>
      <c r="F38" s="193"/>
      <c r="G38" s="193"/>
      <c r="H38" s="193"/>
      <c r="I38" s="194"/>
      <c r="J38" s="188"/>
      <c r="K38" s="41" t="s">
        <v>59</v>
      </c>
      <c r="L38" s="40">
        <v>582.28899999999999</v>
      </c>
      <c r="M38" s="40">
        <v>469.084</v>
      </c>
      <c r="N38" s="37">
        <v>375.6</v>
      </c>
      <c r="O38" s="37">
        <v>494.5</v>
      </c>
      <c r="P38" s="87">
        <v>816.7</v>
      </c>
      <c r="Q38" s="87">
        <v>1287.4349999999999</v>
      </c>
      <c r="R38" s="155">
        <v>1281.6310000000001</v>
      </c>
      <c r="S38" s="1"/>
      <c r="T38" s="1"/>
      <c r="U38" s="1"/>
      <c r="V38" s="1"/>
      <c r="W38" s="1"/>
      <c r="X38" s="1"/>
      <c r="Y38" s="1"/>
    </row>
    <row r="39" spans="2:25" ht="15" customHeight="1" thickBot="1" x14ac:dyDescent="0.3">
      <c r="B39" s="140" t="s">
        <v>2</v>
      </c>
      <c r="C39" s="141" t="s">
        <v>3</v>
      </c>
      <c r="D39" s="141" t="s">
        <v>4</v>
      </c>
      <c r="E39" s="141" t="s">
        <v>5</v>
      </c>
      <c r="F39" s="141" t="s">
        <v>6</v>
      </c>
      <c r="G39" s="141" t="s">
        <v>115</v>
      </c>
      <c r="H39" s="141" t="s">
        <v>121</v>
      </c>
      <c r="I39" s="141" t="s">
        <v>127</v>
      </c>
      <c r="J39" s="188"/>
      <c r="K39" s="41" t="s">
        <v>60</v>
      </c>
      <c r="L39" s="40">
        <v>210.75299999999999</v>
      </c>
      <c r="M39" s="40">
        <v>89.39</v>
      </c>
      <c r="N39" s="42" t="s">
        <v>81</v>
      </c>
      <c r="O39" s="42" t="s">
        <v>81</v>
      </c>
      <c r="P39" s="87">
        <v>128.96</v>
      </c>
      <c r="Q39" s="87">
        <v>141.315</v>
      </c>
      <c r="R39" s="155">
        <v>155.21299999999999</v>
      </c>
      <c r="S39" s="1"/>
      <c r="T39" s="1"/>
      <c r="U39" s="1"/>
      <c r="V39" s="1"/>
      <c r="W39" s="1"/>
      <c r="X39" s="1"/>
      <c r="Y39" s="1"/>
    </row>
    <row r="40" spans="2:25" ht="15" customHeight="1" x14ac:dyDescent="0.25">
      <c r="B40" s="27" t="s">
        <v>67</v>
      </c>
      <c r="C40" s="31">
        <v>307.78199999999998</v>
      </c>
      <c r="D40" s="31">
        <f t="shared" ref="D40:I40" si="24">C48</f>
        <v>840.45999999999981</v>
      </c>
      <c r="E40" s="31">
        <f t="shared" si="24"/>
        <v>422.84199999999981</v>
      </c>
      <c r="F40" s="136">
        <f t="shared" si="24"/>
        <v>911.56299999999987</v>
      </c>
      <c r="G40" s="74">
        <f t="shared" si="24"/>
        <v>1212.6819999999998</v>
      </c>
      <c r="H40" s="74">
        <f t="shared" si="24"/>
        <v>971.15099999999984</v>
      </c>
      <c r="I40" s="136">
        <f t="shared" si="24"/>
        <v>4360.0940000000001</v>
      </c>
      <c r="J40" s="188"/>
      <c r="K40" s="41" t="s">
        <v>61</v>
      </c>
      <c r="L40" s="42" t="s">
        <v>81</v>
      </c>
      <c r="M40" s="40">
        <v>3.23</v>
      </c>
      <c r="N40" s="37">
        <v>65.2</v>
      </c>
      <c r="O40" s="37">
        <v>73.7</v>
      </c>
      <c r="P40" s="87">
        <v>87.197000000000003</v>
      </c>
      <c r="Q40" s="87">
        <v>705.28</v>
      </c>
      <c r="R40" s="155">
        <v>1288.9490000000001</v>
      </c>
      <c r="S40" s="1"/>
      <c r="T40" s="1"/>
      <c r="U40" s="1"/>
      <c r="V40" s="1"/>
      <c r="W40" s="1"/>
      <c r="X40" s="1"/>
      <c r="Y40" s="1"/>
    </row>
    <row r="41" spans="2:25" ht="15" customHeight="1" x14ac:dyDescent="0.25">
      <c r="B41" s="12" t="s">
        <v>125</v>
      </c>
      <c r="C41" s="104" t="s">
        <v>81</v>
      </c>
      <c r="D41" s="104" t="s">
        <v>81</v>
      </c>
      <c r="E41" s="104" t="s">
        <v>81</v>
      </c>
      <c r="F41" s="104" t="s">
        <v>81</v>
      </c>
      <c r="G41" s="104" t="s">
        <v>81</v>
      </c>
      <c r="H41" s="127">
        <v>-170.92099999999999</v>
      </c>
      <c r="I41" s="128">
        <v>0</v>
      </c>
      <c r="J41" s="188"/>
      <c r="K41" s="41" t="s">
        <v>62</v>
      </c>
      <c r="L41" s="40">
        <v>68.287000000000006</v>
      </c>
      <c r="M41" s="40">
        <v>70.655000000000001</v>
      </c>
      <c r="N41" s="37">
        <v>91.4</v>
      </c>
      <c r="O41" s="37">
        <v>15</v>
      </c>
      <c r="P41" s="87">
        <v>5.9089999999999998</v>
      </c>
      <c r="Q41" s="135" t="s">
        <v>81</v>
      </c>
      <c r="R41" s="158">
        <v>4.5140000000000002</v>
      </c>
      <c r="S41" s="1"/>
      <c r="T41" s="1"/>
      <c r="U41" s="1"/>
      <c r="V41" s="1"/>
      <c r="W41" s="1"/>
      <c r="X41" s="1"/>
      <c r="Y41" s="1"/>
    </row>
    <row r="42" spans="2:25" ht="15" customHeight="1" x14ac:dyDescent="0.25">
      <c r="B42" s="12" t="s">
        <v>69</v>
      </c>
      <c r="C42" s="32">
        <v>1411.337</v>
      </c>
      <c r="D42" s="32">
        <v>546.98299999999995</v>
      </c>
      <c r="E42" s="32">
        <v>2297.3040000000001</v>
      </c>
      <c r="F42" s="128">
        <v>1145.6179999999999</v>
      </c>
      <c r="G42" s="127">
        <v>1872.4290000000001</v>
      </c>
      <c r="H42" s="127">
        <v>-895.45399999999995</v>
      </c>
      <c r="I42" s="128">
        <v>-2018.3150000000001</v>
      </c>
      <c r="J42" s="188"/>
      <c r="K42" s="41" t="s">
        <v>63</v>
      </c>
      <c r="L42" s="40">
        <v>45.771999999999998</v>
      </c>
      <c r="M42" s="40">
        <v>82.966999999999999</v>
      </c>
      <c r="N42" s="37">
        <v>38.1</v>
      </c>
      <c r="O42" s="37">
        <v>78.3</v>
      </c>
      <c r="P42" s="87">
        <v>57.939</v>
      </c>
      <c r="Q42" s="87">
        <v>80.078000000000003</v>
      </c>
      <c r="R42" s="155">
        <v>65.856999999999999</v>
      </c>
      <c r="S42" s="1"/>
      <c r="T42" s="1"/>
      <c r="U42" s="1"/>
      <c r="V42" s="1"/>
      <c r="W42" s="1"/>
      <c r="X42" s="1"/>
      <c r="Y42" s="1"/>
    </row>
    <row r="43" spans="2:25" ht="15" customHeight="1" thickBot="1" x14ac:dyDescent="0.3">
      <c r="B43" s="12" t="s">
        <v>71</v>
      </c>
      <c r="C43" s="32">
        <v>-244.04400000000001</v>
      </c>
      <c r="D43" s="32">
        <v>-2865.6970000000001</v>
      </c>
      <c r="E43" s="32">
        <v>-356.57499999999999</v>
      </c>
      <c r="F43" s="128">
        <v>-511.18200000000002</v>
      </c>
      <c r="G43" s="127">
        <v>-945.68899999999996</v>
      </c>
      <c r="H43" s="127">
        <v>5288.3620000000001</v>
      </c>
      <c r="I43" s="128">
        <v>1061.3920000000001</v>
      </c>
      <c r="J43" s="188"/>
      <c r="K43" s="50" t="s">
        <v>65</v>
      </c>
      <c r="L43" s="51">
        <v>462.78899999999999</v>
      </c>
      <c r="M43" s="51">
        <v>515.04200000000003</v>
      </c>
      <c r="N43" s="52">
        <v>488.4</v>
      </c>
      <c r="O43" s="52">
        <v>450.5</v>
      </c>
      <c r="P43" s="89">
        <v>30.026</v>
      </c>
      <c r="Q43" s="89">
        <v>28.887</v>
      </c>
      <c r="R43" s="157">
        <v>28.887</v>
      </c>
      <c r="S43" s="1"/>
      <c r="T43" s="1"/>
      <c r="U43" s="1"/>
      <c r="V43" s="1"/>
      <c r="W43" s="1"/>
      <c r="X43" s="1"/>
      <c r="Y43" s="1"/>
    </row>
    <row r="44" spans="2:25" ht="15" customHeight="1" thickBot="1" x14ac:dyDescent="0.3">
      <c r="B44" s="12" t="s">
        <v>73</v>
      </c>
      <c r="C44" s="32">
        <v>-534.58399999999995</v>
      </c>
      <c r="D44" s="32">
        <v>1992.521</v>
      </c>
      <c r="E44" s="32">
        <v>-1427.184</v>
      </c>
      <c r="F44" s="128">
        <v>-353.86099999999999</v>
      </c>
      <c r="G44" s="127">
        <v>-1019.999</v>
      </c>
      <c r="H44" s="127">
        <v>-881.61400000000003</v>
      </c>
      <c r="I44" s="128">
        <v>1299.828</v>
      </c>
      <c r="J44" s="188"/>
      <c r="K44" s="54" t="s">
        <v>66</v>
      </c>
      <c r="L44" s="54">
        <f>SUM(L46:L53)</f>
        <v>7228.4669999999996</v>
      </c>
      <c r="M44" s="54">
        <f>SUM(M46:M53)</f>
        <v>8234.969000000001</v>
      </c>
      <c r="N44" s="55">
        <f>SUM(N46:N53)</f>
        <v>9662.9000000000015</v>
      </c>
      <c r="O44" s="55">
        <f>SUM(O46:O53)</f>
        <v>12495.2</v>
      </c>
      <c r="P44" s="80">
        <f>(SUM(P46:P53))</f>
        <v>15940.020999999999</v>
      </c>
      <c r="Q44" s="80">
        <f>(SUM(Q46:Q53))</f>
        <v>19256.106999999996</v>
      </c>
      <c r="R44" s="80">
        <f>(SUM(R46:R53))</f>
        <v>20296.703999999998</v>
      </c>
      <c r="S44" s="1"/>
      <c r="T44" s="1"/>
      <c r="U44" s="1"/>
      <c r="V44" s="1"/>
      <c r="W44" s="1"/>
      <c r="X44" s="1"/>
      <c r="Y44" s="1"/>
    </row>
    <row r="45" spans="2:25" ht="15" customHeight="1" thickBot="1" x14ac:dyDescent="0.3">
      <c r="B45" s="12" t="s">
        <v>116</v>
      </c>
      <c r="C45" s="32">
        <f>-100.031</f>
        <v>-100.03100000000001</v>
      </c>
      <c r="D45" s="32">
        <v>-133.249</v>
      </c>
      <c r="E45" s="32">
        <v>-50.533999999999999</v>
      </c>
      <c r="F45" s="128">
        <v>20.544</v>
      </c>
      <c r="G45" s="127">
        <v>-148.27199999999999</v>
      </c>
      <c r="H45" s="127">
        <v>48.57</v>
      </c>
      <c r="I45" s="128">
        <v>270.73700000000002</v>
      </c>
      <c r="J45" s="188"/>
      <c r="K45" s="46" t="s">
        <v>122</v>
      </c>
      <c r="L45" s="46">
        <f>L44-L19</f>
        <v>1580.1469999999999</v>
      </c>
      <c r="M45" s="46">
        <f>M44-M19</f>
        <v>1500.7670000000007</v>
      </c>
      <c r="N45" s="46">
        <f t="shared" ref="N45:P45" si="25">N44-N19</f>
        <v>2560.9000000000005</v>
      </c>
      <c r="O45" s="46">
        <f t="shared" si="25"/>
        <v>3230.4000000000015</v>
      </c>
      <c r="P45" s="81">
        <f t="shared" si="25"/>
        <v>4505.2609999999986</v>
      </c>
      <c r="Q45" s="79">
        <f>Q44-Q19</f>
        <v>9153.7729999999938</v>
      </c>
      <c r="R45" s="79">
        <f>R44-R19</f>
        <v>10383.455999999996</v>
      </c>
      <c r="S45" s="1"/>
      <c r="T45" s="1"/>
      <c r="U45" s="1"/>
      <c r="V45" s="1"/>
      <c r="W45" s="1"/>
      <c r="X45" s="1"/>
      <c r="Y45" s="1"/>
    </row>
    <row r="46" spans="2:25" ht="15" customHeight="1" thickBot="1" x14ac:dyDescent="0.3">
      <c r="B46" s="103" t="s">
        <v>117</v>
      </c>
      <c r="C46" s="104" t="s">
        <v>81</v>
      </c>
      <c r="D46" s="105">
        <v>41.823999999999998</v>
      </c>
      <c r="E46" s="105">
        <v>25.71</v>
      </c>
      <c r="F46" s="137" t="s">
        <v>81</v>
      </c>
      <c r="G46" s="138" t="s">
        <v>81</v>
      </c>
      <c r="H46" s="138" t="s">
        <v>81</v>
      </c>
      <c r="I46" s="137" t="s">
        <v>81</v>
      </c>
      <c r="J46" s="188"/>
      <c r="K46" s="43" t="s">
        <v>68</v>
      </c>
      <c r="L46" s="44">
        <v>1961.569</v>
      </c>
      <c r="M46" s="44">
        <v>2586.1239999999998</v>
      </c>
      <c r="N46" s="45">
        <v>2533.1</v>
      </c>
      <c r="O46" s="45">
        <v>2955</v>
      </c>
      <c r="P46" s="85">
        <v>3419.0250000000001</v>
      </c>
      <c r="Q46" s="85">
        <v>3700.01</v>
      </c>
      <c r="R46" s="154">
        <v>3820.8490000000002</v>
      </c>
      <c r="S46" s="1"/>
      <c r="T46" s="1"/>
      <c r="U46" s="1"/>
      <c r="V46" s="1"/>
      <c r="W46" s="1"/>
      <c r="X46" s="1"/>
      <c r="Y46" s="1"/>
    </row>
    <row r="47" spans="2:25" ht="15" customHeight="1" thickBot="1" x14ac:dyDescent="0.3">
      <c r="B47" s="106" t="s">
        <v>77</v>
      </c>
      <c r="C47" s="107">
        <f t="shared" ref="C47:G47" si="26">+C42+C43+C44+C45</f>
        <v>532.67799999999988</v>
      </c>
      <c r="D47" s="107">
        <f t="shared" si="26"/>
        <v>-459.44200000000001</v>
      </c>
      <c r="E47" s="107">
        <f t="shared" si="26"/>
        <v>463.01100000000008</v>
      </c>
      <c r="F47" s="108">
        <f>F42+F43+F44+F45</f>
        <v>301.11899999999991</v>
      </c>
      <c r="G47" s="108">
        <f t="shared" si="26"/>
        <v>-241.53099999999989</v>
      </c>
      <c r="H47" s="108">
        <f>+H42+H43+H44+H45</f>
        <v>3559.8640000000005</v>
      </c>
      <c r="I47" s="166">
        <f>+I42+I43+I44+I45</f>
        <v>613.64200000000005</v>
      </c>
      <c r="J47" s="188"/>
      <c r="K47" s="41" t="s">
        <v>70</v>
      </c>
      <c r="L47" s="40">
        <v>671.702</v>
      </c>
      <c r="M47" s="40">
        <v>1109.3040000000001</v>
      </c>
      <c r="N47" s="37">
        <v>1764</v>
      </c>
      <c r="O47" s="37">
        <v>2492</v>
      </c>
      <c r="P47" s="87">
        <v>3687.402</v>
      </c>
      <c r="Q47" s="87">
        <v>1270.567</v>
      </c>
      <c r="R47" s="155">
        <v>2121.5940000000001</v>
      </c>
      <c r="S47" s="1"/>
      <c r="T47" s="1"/>
      <c r="U47" s="1"/>
      <c r="V47" s="1"/>
      <c r="W47" s="1"/>
      <c r="X47" s="1"/>
      <c r="Y47" s="1"/>
    </row>
    <row r="48" spans="2:25" ht="15" customHeight="1" thickBot="1" x14ac:dyDescent="0.3">
      <c r="B48" s="101" t="s">
        <v>79</v>
      </c>
      <c r="C48" s="100">
        <f>C40+C47</f>
        <v>840.45999999999981</v>
      </c>
      <c r="D48" s="100">
        <f>D40+D47+D46</f>
        <v>422.84199999999981</v>
      </c>
      <c r="E48" s="100">
        <f>E40+E47+E46</f>
        <v>911.56299999999987</v>
      </c>
      <c r="F48" s="102">
        <f>F40+F47</f>
        <v>1212.6819999999998</v>
      </c>
      <c r="G48" s="102">
        <f>G40+G47</f>
        <v>971.15099999999984</v>
      </c>
      <c r="H48" s="102">
        <f>H40+H47+H41</f>
        <v>4360.0940000000001</v>
      </c>
      <c r="I48" s="102">
        <f>I40+I47+I41</f>
        <v>4973.7359999999999</v>
      </c>
      <c r="J48" s="188"/>
      <c r="K48" s="41" t="s">
        <v>72</v>
      </c>
      <c r="L48" s="40">
        <v>2926.2629999999999</v>
      </c>
      <c r="M48" s="40">
        <v>3205.377</v>
      </c>
      <c r="N48" s="37">
        <v>3258.5</v>
      </c>
      <c r="O48" s="37">
        <v>4267.8</v>
      </c>
      <c r="P48" s="87">
        <v>5471.8890000000001</v>
      </c>
      <c r="Q48" s="87">
        <v>7315.45</v>
      </c>
      <c r="R48" s="155">
        <v>7682.2879999999996</v>
      </c>
      <c r="S48" s="1"/>
      <c r="T48" s="1"/>
      <c r="U48" s="1"/>
      <c r="V48" s="1"/>
      <c r="W48" s="1"/>
      <c r="X48" s="1"/>
      <c r="Y48" s="1"/>
    </row>
    <row r="49" spans="2:25" ht="15" customHeight="1" thickBot="1" x14ac:dyDescent="0.3">
      <c r="B49" s="185"/>
      <c r="C49" s="185"/>
      <c r="D49" s="185"/>
      <c r="E49" s="185"/>
      <c r="F49" s="185"/>
      <c r="G49" s="185"/>
      <c r="H49" s="185"/>
      <c r="I49" s="139"/>
      <c r="J49" s="188"/>
      <c r="K49" s="41" t="s">
        <v>74</v>
      </c>
      <c r="L49" s="40">
        <f>840.46+87.717</f>
        <v>928.17700000000002</v>
      </c>
      <c r="M49" s="40">
        <f>422.842+152.465</f>
        <v>575.30700000000002</v>
      </c>
      <c r="N49" s="37">
        <v>1523.7</v>
      </c>
      <c r="O49" s="37">
        <v>2130.6999999999998</v>
      </c>
      <c r="P49" s="87">
        <f>971.152+1617.792</f>
        <v>2588.944</v>
      </c>
      <c r="Q49" s="87">
        <f>4360.094+1926.646</f>
        <v>6286.74</v>
      </c>
      <c r="R49" s="155">
        <f>4973.736+769.371</f>
        <v>5743.107</v>
      </c>
      <c r="S49" s="1"/>
      <c r="T49" s="1"/>
      <c r="U49" s="1"/>
      <c r="V49" s="1"/>
      <c r="W49" s="1"/>
      <c r="X49" s="1"/>
      <c r="Y49" s="1"/>
    </row>
    <row r="50" spans="2:25" ht="15" customHeight="1" thickBot="1" x14ac:dyDescent="0.3">
      <c r="B50" s="6" t="s">
        <v>83</v>
      </c>
      <c r="C50" s="7" t="s">
        <v>3</v>
      </c>
      <c r="D50" s="7" t="s">
        <v>4</v>
      </c>
      <c r="E50" s="7" t="s">
        <v>5</v>
      </c>
      <c r="F50" s="7" t="s">
        <v>6</v>
      </c>
      <c r="G50" s="7" t="s">
        <v>115</v>
      </c>
      <c r="H50" s="7" t="s">
        <v>121</v>
      </c>
      <c r="I50" s="7" t="s">
        <v>127</v>
      </c>
      <c r="J50" s="188"/>
      <c r="K50" s="41" t="s">
        <v>75</v>
      </c>
      <c r="L50" s="40">
        <v>9.0239999999999991</v>
      </c>
      <c r="M50" s="40">
        <v>5.6260000000000003</v>
      </c>
      <c r="N50" s="37"/>
      <c r="O50" s="37">
        <v>0.6</v>
      </c>
      <c r="P50" s="87">
        <v>0.48399999999999999</v>
      </c>
      <c r="Q50" s="87">
        <v>0.53</v>
      </c>
      <c r="R50" s="155">
        <v>0.58199999999999996</v>
      </c>
      <c r="S50" s="1"/>
      <c r="T50" s="1"/>
      <c r="U50" s="1"/>
      <c r="V50" s="1"/>
      <c r="W50" s="1"/>
      <c r="X50" s="1"/>
      <c r="Y50" s="1"/>
    </row>
    <row r="51" spans="2:25" ht="15" customHeight="1" x14ac:dyDescent="0.25">
      <c r="B51" s="28" t="s">
        <v>84</v>
      </c>
      <c r="C51" s="29">
        <f t="shared" ref="C51:G51" si="27">C42</f>
        <v>1411.337</v>
      </c>
      <c r="D51" s="29">
        <f t="shared" si="27"/>
        <v>546.98299999999995</v>
      </c>
      <c r="E51" s="29">
        <f t="shared" si="27"/>
        <v>2297.3040000000001</v>
      </c>
      <c r="F51" s="29">
        <f t="shared" si="27"/>
        <v>1145.6179999999999</v>
      </c>
      <c r="G51" s="29">
        <f t="shared" si="27"/>
        <v>1872.4290000000001</v>
      </c>
      <c r="H51" s="29">
        <f>H42</f>
        <v>-895.45399999999995</v>
      </c>
      <c r="I51" s="29">
        <f>I42</f>
        <v>-2018.3150000000001</v>
      </c>
      <c r="J51" s="188"/>
      <c r="K51" s="41" t="s">
        <v>76</v>
      </c>
      <c r="L51" s="40">
        <v>31.241</v>
      </c>
      <c r="M51" s="40">
        <v>21.58</v>
      </c>
      <c r="N51" s="37">
        <v>48.6</v>
      </c>
      <c r="O51" s="37">
        <v>78.099999999999994</v>
      </c>
      <c r="P51" s="87">
        <v>104.381</v>
      </c>
      <c r="Q51" s="87">
        <v>98.552999999999997</v>
      </c>
      <c r="R51" s="155">
        <v>158.32599999999999</v>
      </c>
      <c r="S51" s="1"/>
      <c r="T51" s="1"/>
      <c r="U51" s="1"/>
      <c r="V51" s="1"/>
      <c r="W51" s="1"/>
      <c r="X51" s="1"/>
      <c r="Y51" s="1"/>
    </row>
    <row r="52" spans="2:25" ht="15" customHeight="1" thickBot="1" x14ac:dyDescent="0.3">
      <c r="B52" s="98" t="s">
        <v>118</v>
      </c>
      <c r="C52" s="99">
        <f>178.495-65.514</f>
        <v>112.98100000000001</v>
      </c>
      <c r="D52" s="99">
        <f>1198.805-24.275</f>
        <v>1174.53</v>
      </c>
      <c r="E52" s="99">
        <f>234.324-380.173</f>
        <v>-145.84899999999999</v>
      </c>
      <c r="F52" s="99">
        <f>252.498-8.963</f>
        <v>243.535</v>
      </c>
      <c r="G52" s="99">
        <f>396.685-73.617</f>
        <v>323.06799999999998</v>
      </c>
      <c r="H52" s="99">
        <f>426.511-10.698</f>
        <v>415.81300000000005</v>
      </c>
      <c r="I52" s="161">
        <v>197.38900000000001</v>
      </c>
      <c r="J52" s="188"/>
      <c r="K52" s="41" t="s">
        <v>78</v>
      </c>
      <c r="L52" s="40">
        <v>27.45</v>
      </c>
      <c r="M52" s="40">
        <v>40.636000000000003</v>
      </c>
      <c r="N52" s="37">
        <v>12.8</v>
      </c>
      <c r="O52" s="37">
        <v>45.4</v>
      </c>
      <c r="P52" s="87">
        <v>91.984999999999999</v>
      </c>
      <c r="Q52" s="87">
        <v>25.622</v>
      </c>
      <c r="R52" s="155">
        <v>26.545999999999999</v>
      </c>
      <c r="S52" s="1"/>
      <c r="T52" s="1"/>
      <c r="U52" s="1"/>
      <c r="V52" s="1"/>
      <c r="W52" s="1"/>
      <c r="X52" s="1"/>
      <c r="Y52" s="1"/>
    </row>
    <row r="53" spans="2:25" ht="15" customHeight="1" thickBot="1" x14ac:dyDescent="0.3">
      <c r="B53" s="96" t="s">
        <v>87</v>
      </c>
      <c r="C53" s="100">
        <f>C51-C52</f>
        <v>1298.356</v>
      </c>
      <c r="D53" s="100">
        <f t="shared" ref="D53:F53" si="28">D51-D52</f>
        <v>-627.54700000000003</v>
      </c>
      <c r="E53" s="100">
        <f t="shared" si="28"/>
        <v>2443.1530000000002</v>
      </c>
      <c r="F53" s="100">
        <f t="shared" si="28"/>
        <v>902.08299999999997</v>
      </c>
      <c r="G53" s="100">
        <f>G51-G52</f>
        <v>1549.3610000000001</v>
      </c>
      <c r="H53" s="100">
        <f>H51+H52</f>
        <v>-479.64099999999991</v>
      </c>
      <c r="I53" s="100">
        <f>I51+I52</f>
        <v>-1820.9259999999999</v>
      </c>
      <c r="J53" s="188"/>
      <c r="K53" s="50" t="s">
        <v>80</v>
      </c>
      <c r="L53" s="51">
        <v>673.04100000000005</v>
      </c>
      <c r="M53" s="51">
        <v>691.01499999999999</v>
      </c>
      <c r="N53" s="52">
        <v>522.20000000000005</v>
      </c>
      <c r="O53" s="52">
        <v>525.6</v>
      </c>
      <c r="P53" s="89">
        <v>575.91099999999994</v>
      </c>
      <c r="Q53" s="89">
        <v>558.63499999999999</v>
      </c>
      <c r="R53" s="157">
        <v>743.41200000000003</v>
      </c>
      <c r="S53" s="1"/>
      <c r="T53" s="1"/>
      <c r="U53" s="1"/>
      <c r="V53" s="1"/>
      <c r="W53" s="1"/>
      <c r="X53" s="1"/>
      <c r="Y53" s="1"/>
    </row>
    <row r="54" spans="2:25" ht="15" customHeight="1" thickBot="1" x14ac:dyDescent="0.3">
      <c r="B54" s="119"/>
      <c r="C54" s="119"/>
      <c r="D54" s="119"/>
      <c r="E54" s="119"/>
      <c r="F54" s="119"/>
      <c r="G54" s="119"/>
      <c r="H54" s="119"/>
      <c r="I54" s="139"/>
      <c r="J54" s="188"/>
      <c r="K54" s="54" t="s">
        <v>82</v>
      </c>
      <c r="L54" s="54">
        <f>L44+L31</f>
        <v>10503.706999999999</v>
      </c>
      <c r="M54" s="82">
        <f>M44+M31</f>
        <v>14097.032000000001</v>
      </c>
      <c r="N54" s="55">
        <f>N44+N31</f>
        <v>15167.900000000001</v>
      </c>
      <c r="O54" s="55">
        <f>O44+O31</f>
        <v>18073.800000000003</v>
      </c>
      <c r="P54" s="80">
        <f>(P44+P31)</f>
        <v>22024.19</v>
      </c>
      <c r="Q54" s="80">
        <f>(Q44+Q31)</f>
        <v>26279.598999999995</v>
      </c>
      <c r="R54" s="165">
        <f>(R44+R31)</f>
        <v>28279.275999999998</v>
      </c>
      <c r="S54" s="144"/>
      <c r="T54" s="1"/>
      <c r="U54" s="1"/>
      <c r="V54" s="1"/>
      <c r="W54" s="1"/>
      <c r="X54" s="1"/>
      <c r="Y54" s="1"/>
    </row>
    <row r="55" spans="2:25" ht="15" customHeight="1" thickBot="1" x14ac:dyDescent="0.3">
      <c r="B55" s="6" t="s">
        <v>83</v>
      </c>
      <c r="C55" s="7" t="s">
        <v>3</v>
      </c>
      <c r="D55" s="35" t="s">
        <v>4</v>
      </c>
      <c r="E55" s="35" t="s">
        <v>5</v>
      </c>
      <c r="F55" s="35" t="s">
        <v>6</v>
      </c>
      <c r="G55" s="35" t="s">
        <v>115</v>
      </c>
      <c r="H55" s="7" t="s">
        <v>121</v>
      </c>
      <c r="I55" s="7" t="s">
        <v>127</v>
      </c>
      <c r="J55" s="188"/>
      <c r="K55" s="186"/>
      <c r="L55" s="186"/>
      <c r="M55" s="186"/>
      <c r="N55" s="186"/>
      <c r="O55" s="186"/>
      <c r="P55" s="186"/>
      <c r="Q55" s="186"/>
      <c r="R55" s="142"/>
      <c r="S55" s="1"/>
      <c r="T55" s="1"/>
      <c r="U55" s="1"/>
      <c r="V55" s="1"/>
      <c r="W55" s="1"/>
      <c r="X55" s="1"/>
      <c r="Y55" s="1"/>
    </row>
    <row r="56" spans="2:25" ht="15" customHeight="1" thickBot="1" x14ac:dyDescent="0.3">
      <c r="B56" s="34" t="s">
        <v>90</v>
      </c>
      <c r="C56" s="90">
        <v>97670800</v>
      </c>
      <c r="D56" s="90">
        <v>97670800</v>
      </c>
      <c r="E56" s="90">
        <v>97670800</v>
      </c>
      <c r="F56" s="90">
        <v>97670800</v>
      </c>
      <c r="G56" s="90">
        <v>97670800</v>
      </c>
      <c r="H56" s="90">
        <v>97670800</v>
      </c>
      <c r="I56" s="159">
        <v>97670800</v>
      </c>
      <c r="J56" s="188"/>
      <c r="K56" s="192" t="s">
        <v>88</v>
      </c>
      <c r="L56" s="193"/>
      <c r="M56" s="193"/>
      <c r="N56" s="193"/>
      <c r="O56" s="193"/>
      <c r="P56" s="193"/>
      <c r="Q56" s="193"/>
      <c r="R56" s="194"/>
      <c r="S56" s="1"/>
      <c r="T56" s="1"/>
      <c r="U56" s="1"/>
      <c r="V56" s="1"/>
      <c r="W56" s="1"/>
      <c r="X56" s="1"/>
      <c r="Y56" s="1"/>
    </row>
    <row r="57" spans="2:25" ht="15" customHeight="1" thickBot="1" x14ac:dyDescent="0.3">
      <c r="B57" s="15" t="s">
        <v>92</v>
      </c>
      <c r="C57" s="33">
        <f t="shared" ref="C57:H57" si="29">C56*L58/1000000</f>
        <v>8129.1406839999991</v>
      </c>
      <c r="D57" s="33">
        <f t="shared" si="29"/>
        <v>2743.0844179999999</v>
      </c>
      <c r="E57" s="33">
        <f t="shared" si="29"/>
        <v>5793.8318560000007</v>
      </c>
      <c r="F57" s="33">
        <f t="shared" si="29"/>
        <v>8157.4652160000005</v>
      </c>
      <c r="G57" s="33">
        <f t="shared" si="29"/>
        <v>23443.922124000004</v>
      </c>
      <c r="H57" s="33">
        <f t="shared" si="29"/>
        <v>33114.796385999995</v>
      </c>
      <c r="I57" s="160">
        <f>I56*R58/1000000</f>
        <v>71597.579939999996</v>
      </c>
      <c r="J57" s="188"/>
      <c r="K57" s="140" t="s">
        <v>89</v>
      </c>
      <c r="L57" s="143" t="s">
        <v>3</v>
      </c>
      <c r="M57" s="141" t="s">
        <v>4</v>
      </c>
      <c r="N57" s="141" t="s">
        <v>5</v>
      </c>
      <c r="O57" s="141" t="s">
        <v>6</v>
      </c>
      <c r="P57" s="141" t="s">
        <v>115</v>
      </c>
      <c r="Q57" s="141" t="s">
        <v>121</v>
      </c>
      <c r="R57" s="141" t="s">
        <v>141</v>
      </c>
      <c r="S57" s="1"/>
      <c r="T57" s="1"/>
      <c r="U57" s="1"/>
      <c r="V57" s="1"/>
      <c r="W57" s="1"/>
      <c r="X57" s="1"/>
      <c r="Y57" s="1"/>
    </row>
    <row r="58" spans="2:25" ht="15" customHeight="1" x14ac:dyDescent="0.25">
      <c r="B58" s="14" t="s">
        <v>94</v>
      </c>
      <c r="C58" s="36">
        <f t="shared" ref="C58:I58" si="30">L11</f>
        <v>1217.5439999999999</v>
      </c>
      <c r="D58" s="36">
        <f t="shared" si="30"/>
        <v>3581.8140000000003</v>
      </c>
      <c r="E58" s="36">
        <f t="shared" si="30"/>
        <v>2741.1000000000004</v>
      </c>
      <c r="F58" s="36">
        <f t="shared" si="30"/>
        <v>2790.8</v>
      </c>
      <c r="G58" s="36">
        <f t="shared" si="30"/>
        <v>2262.2269999999999</v>
      </c>
      <c r="H58" s="36">
        <f t="shared" si="30"/>
        <v>2065.174</v>
      </c>
      <c r="I58" s="36">
        <f t="shared" si="30"/>
        <v>3757.09</v>
      </c>
      <c r="J58" s="188"/>
      <c r="K58" s="67" t="s">
        <v>91</v>
      </c>
      <c r="L58" s="91">
        <f>832.3/10</f>
        <v>83.22999999999999</v>
      </c>
      <c r="M58" s="92">
        <f>280.85/10</f>
        <v>28.085000000000001</v>
      </c>
      <c r="N58" s="92">
        <f>593.2/10</f>
        <v>59.320000000000007</v>
      </c>
      <c r="O58" s="92">
        <f>835.2/10</f>
        <v>83.52000000000001</v>
      </c>
      <c r="P58" s="92">
        <f>2400.3/10</f>
        <v>240.03000000000003</v>
      </c>
      <c r="Q58" s="92">
        <f>3390.45/10</f>
        <v>339.04499999999996</v>
      </c>
      <c r="R58" s="178">
        <v>733.05</v>
      </c>
      <c r="S58" s="1"/>
      <c r="T58" s="1"/>
      <c r="U58" s="1"/>
      <c r="V58" s="1"/>
      <c r="W58" s="1"/>
      <c r="X58" s="1"/>
      <c r="Y58" s="1"/>
    </row>
    <row r="59" spans="2:25" ht="15" customHeight="1" thickBot="1" x14ac:dyDescent="0.3">
      <c r="B59" s="94" t="s">
        <v>96</v>
      </c>
      <c r="C59" s="95">
        <f t="shared" ref="C59:I59" si="31">L49</f>
        <v>928.17700000000002</v>
      </c>
      <c r="D59" s="95">
        <f t="shared" si="31"/>
        <v>575.30700000000002</v>
      </c>
      <c r="E59" s="95">
        <f t="shared" si="31"/>
        <v>1523.7</v>
      </c>
      <c r="F59" s="95">
        <f t="shared" si="31"/>
        <v>2130.6999999999998</v>
      </c>
      <c r="G59" s="95">
        <f t="shared" si="31"/>
        <v>2588.944</v>
      </c>
      <c r="H59" s="95">
        <f t="shared" si="31"/>
        <v>6286.74</v>
      </c>
      <c r="I59" s="95">
        <f t="shared" si="31"/>
        <v>5743.107</v>
      </c>
      <c r="J59" s="188"/>
      <c r="K59" s="67" t="s">
        <v>93</v>
      </c>
      <c r="L59" s="60">
        <f t="shared" ref="L59:Q59" si="32">C34</f>
        <v>12.87</v>
      </c>
      <c r="M59" s="22">
        <f t="shared" si="32"/>
        <v>5.75</v>
      </c>
      <c r="N59" s="22">
        <f t="shared" si="32"/>
        <v>8.6199999999999992</v>
      </c>
      <c r="O59" s="22">
        <f t="shared" si="32"/>
        <v>6.54</v>
      </c>
      <c r="P59" s="22">
        <f t="shared" si="32"/>
        <v>16.73</v>
      </c>
      <c r="Q59" s="22">
        <f t="shared" si="32"/>
        <v>17.71</v>
      </c>
      <c r="R59" s="179">
        <v>19.87</v>
      </c>
      <c r="S59" s="1" t="s">
        <v>126</v>
      </c>
      <c r="T59" s="3"/>
      <c r="U59" s="1"/>
      <c r="V59" s="1"/>
      <c r="W59" s="1"/>
      <c r="X59" s="1"/>
      <c r="Y59" s="1"/>
    </row>
    <row r="60" spans="2:25" ht="15" customHeight="1" thickBot="1" x14ac:dyDescent="0.3">
      <c r="B60" s="96" t="s">
        <v>98</v>
      </c>
      <c r="C60" s="97">
        <f t="shared" ref="C60:H60" si="33">C57+C58-C59</f>
        <v>8418.5076840000002</v>
      </c>
      <c r="D60" s="97">
        <f t="shared" si="33"/>
        <v>5749.5914180000009</v>
      </c>
      <c r="E60" s="97">
        <f t="shared" si="33"/>
        <v>7011.2318560000012</v>
      </c>
      <c r="F60" s="97">
        <f t="shared" si="33"/>
        <v>8817.5652159999991</v>
      </c>
      <c r="G60" s="97">
        <f t="shared" si="33"/>
        <v>23117.205124000004</v>
      </c>
      <c r="H60" s="97">
        <f t="shared" si="33"/>
        <v>28893.230385999996</v>
      </c>
      <c r="I60" s="167">
        <f t="shared" ref="I60" si="34">I57+I58-I59</f>
        <v>69611.562939999989</v>
      </c>
      <c r="J60" s="188"/>
      <c r="K60" s="68" t="s">
        <v>95</v>
      </c>
      <c r="L60" s="62">
        <f t="shared" ref="L60:Q60" si="35">(L5*1000000)/C56</f>
        <v>44.853190513439024</v>
      </c>
      <c r="M60" s="56">
        <f t="shared" si="35"/>
        <v>49.276723442420867</v>
      </c>
      <c r="N60" s="56">
        <f t="shared" si="35"/>
        <v>60.395737518275688</v>
      </c>
      <c r="O60" s="56">
        <f t="shared" si="35"/>
        <v>72.245747961519712</v>
      </c>
      <c r="P60" s="56">
        <f t="shared" si="35"/>
        <v>93.463215208639639</v>
      </c>
      <c r="Q60" s="56">
        <f t="shared" si="35"/>
        <v>159.34440999766562</v>
      </c>
      <c r="R60" s="180" t="s">
        <v>108</v>
      </c>
      <c r="S60" s="1"/>
      <c r="T60" s="1"/>
      <c r="U60" s="1"/>
      <c r="V60" s="1"/>
      <c r="W60" s="1"/>
      <c r="X60" s="1"/>
      <c r="Y60" s="1"/>
    </row>
    <row r="61" spans="2:25" ht="15" customHeight="1" x14ac:dyDescent="0.25">
      <c r="B61" s="1"/>
      <c r="C61" s="1"/>
      <c r="D61" s="1"/>
      <c r="E61" s="1"/>
      <c r="F61" s="1"/>
      <c r="G61" s="1"/>
      <c r="H61" s="1"/>
      <c r="I61" s="139"/>
      <c r="J61" s="188"/>
      <c r="K61" s="67" t="s">
        <v>97</v>
      </c>
      <c r="L61" s="61">
        <v>0.75</v>
      </c>
      <c r="M61" s="19">
        <v>0.75</v>
      </c>
      <c r="N61" s="19">
        <v>1</v>
      </c>
      <c r="O61" s="19">
        <v>1</v>
      </c>
      <c r="P61" s="19">
        <v>2</v>
      </c>
      <c r="Q61" s="19">
        <v>4</v>
      </c>
      <c r="R61" s="147" t="s">
        <v>81</v>
      </c>
      <c r="S61" s="1"/>
      <c r="T61" s="1"/>
      <c r="U61" s="1"/>
      <c r="V61" s="1"/>
      <c r="W61" s="1"/>
      <c r="X61" s="1"/>
      <c r="Y61" s="1"/>
    </row>
    <row r="62" spans="2:25" ht="15" customHeight="1" x14ac:dyDescent="0.25">
      <c r="B62" s="1"/>
      <c r="C62" s="1"/>
      <c r="D62" s="1"/>
      <c r="E62" s="1"/>
      <c r="F62" s="1"/>
      <c r="G62" s="1"/>
      <c r="H62" s="1"/>
      <c r="I62" s="139"/>
      <c r="J62" s="188"/>
      <c r="K62" s="68" t="s">
        <v>99</v>
      </c>
      <c r="L62" s="62">
        <f t="shared" ref="L62:O62" si="36">(L58/L59)</f>
        <v>6.4669774669774664</v>
      </c>
      <c r="M62" s="56">
        <f t="shared" si="36"/>
        <v>4.8843478260869571</v>
      </c>
      <c r="N62" s="56">
        <f t="shared" si="36"/>
        <v>6.8816705336426933</v>
      </c>
      <c r="O62" s="56">
        <f t="shared" si="36"/>
        <v>12.770642201834864</v>
      </c>
      <c r="P62" s="56">
        <f t="shared" ref="P62:Q62" si="37">(P58/P59)</f>
        <v>14.347280334728035</v>
      </c>
      <c r="Q62" s="56">
        <f t="shared" si="37"/>
        <v>19.144268774703555</v>
      </c>
      <c r="R62" s="180">
        <f t="shared" ref="R62" si="38">(R58/R59)</f>
        <v>36.892299949672868</v>
      </c>
      <c r="S62" s="117" t="s">
        <v>142</v>
      </c>
      <c r="T62" s="1"/>
      <c r="U62" s="1"/>
      <c r="V62" s="1"/>
      <c r="W62" s="1"/>
      <c r="X62" s="1"/>
      <c r="Y62" s="1"/>
    </row>
    <row r="63" spans="2:25" ht="15" customHeight="1" x14ac:dyDescent="0.25">
      <c r="B63" s="1"/>
      <c r="C63" s="1"/>
      <c r="D63" s="1"/>
      <c r="E63" s="1"/>
      <c r="F63" s="1"/>
      <c r="G63" s="1"/>
      <c r="H63" s="1"/>
      <c r="I63" s="139"/>
      <c r="J63" s="188"/>
      <c r="K63" s="68" t="s">
        <v>100</v>
      </c>
      <c r="L63" s="62">
        <f t="shared" ref="L63:O63" si="39">(L58/L60)</f>
        <v>1.8556093568207241</v>
      </c>
      <c r="M63" s="56">
        <f t="shared" si="39"/>
        <v>0.56994455065213323</v>
      </c>
      <c r="N63" s="56">
        <f t="shared" si="39"/>
        <v>0.98218851921544692</v>
      </c>
      <c r="O63" s="56">
        <f t="shared" si="39"/>
        <v>1.1560541949747036</v>
      </c>
      <c r="P63" s="56">
        <f t="shared" ref="P63" si="40">(P58/P60)</f>
        <v>2.568176147847864</v>
      </c>
      <c r="Q63" s="56">
        <f t="shared" ref="Q63" si="41">(Q58/Q60)</f>
        <v>2.1277495709135135</v>
      </c>
      <c r="R63" s="148" t="s">
        <v>108</v>
      </c>
      <c r="S63" s="1"/>
      <c r="T63" s="1"/>
      <c r="U63" s="1"/>
      <c r="V63" s="1"/>
      <c r="W63" s="1"/>
      <c r="X63" s="1"/>
      <c r="Y63" s="1"/>
    </row>
    <row r="64" spans="2:25" ht="15" customHeight="1" x14ac:dyDescent="0.25">
      <c r="B64" s="1"/>
      <c r="C64" s="1"/>
      <c r="D64" s="1"/>
      <c r="E64" s="1"/>
      <c r="F64" s="1"/>
      <c r="G64" s="1"/>
      <c r="H64" s="1"/>
      <c r="I64" s="139"/>
      <c r="J64" s="188"/>
      <c r="K64" s="68" t="s">
        <v>101</v>
      </c>
      <c r="L64" s="62">
        <f t="shared" ref="L64:Q64" si="42">C60/C13</f>
        <v>3.5974683708527757</v>
      </c>
      <c r="M64" s="56">
        <f t="shared" si="42"/>
        <v>4.7844883503992248</v>
      </c>
      <c r="N64" s="56">
        <f t="shared" si="42"/>
        <v>4.4776456294744653</v>
      </c>
      <c r="O64" s="56">
        <f t="shared" si="42"/>
        <v>4.1940573564910482</v>
      </c>
      <c r="P64" s="56">
        <f t="shared" si="42"/>
        <v>8.6436260970356891</v>
      </c>
      <c r="Q64" s="56">
        <f t="shared" si="42"/>
        <v>9.6846782612834463</v>
      </c>
      <c r="R64" s="148" t="s">
        <v>108</v>
      </c>
      <c r="S64" s="1"/>
      <c r="T64" s="1"/>
      <c r="U64" s="1"/>
      <c r="V64" s="1"/>
      <c r="W64" s="1"/>
      <c r="X64" s="1"/>
      <c r="Y64" s="1"/>
    </row>
    <row r="65" spans="2:25" ht="15" customHeight="1" x14ac:dyDescent="0.25">
      <c r="B65" s="1"/>
      <c r="C65" s="1"/>
      <c r="D65" s="1"/>
      <c r="E65" s="1"/>
      <c r="F65" s="1"/>
      <c r="G65" s="1"/>
      <c r="H65" s="1"/>
      <c r="I65" s="139"/>
      <c r="J65" s="188"/>
      <c r="K65" s="69" t="s">
        <v>102</v>
      </c>
      <c r="L65" s="63">
        <f t="shared" ref="L65:Q65" si="43">C26/L5</f>
        <v>0.35912050797482775</v>
      </c>
      <c r="M65" s="57">
        <f t="shared" si="43"/>
        <v>0.11544439866467107</v>
      </c>
      <c r="N65" s="57">
        <f t="shared" si="43"/>
        <v>0.13265998745528826</v>
      </c>
      <c r="O65" s="57">
        <f t="shared" si="43"/>
        <v>0.16724657398353257</v>
      </c>
      <c r="P65" s="57">
        <f t="shared" si="43"/>
        <v>0.1948485790908096</v>
      </c>
      <c r="Q65" s="57">
        <f t="shared" si="43"/>
        <v>0.12401961641030282</v>
      </c>
      <c r="R65" s="145" t="s">
        <v>108</v>
      </c>
      <c r="S65" s="1"/>
      <c r="T65" s="1"/>
      <c r="U65" s="1"/>
      <c r="V65" s="1"/>
      <c r="W65" s="1"/>
      <c r="X65" s="1"/>
      <c r="Y65" s="1"/>
    </row>
    <row r="66" spans="2:25" ht="15" customHeight="1" x14ac:dyDescent="0.25">
      <c r="B66" s="1"/>
      <c r="C66" s="1"/>
      <c r="D66" s="1"/>
      <c r="E66" s="1"/>
      <c r="F66" s="1"/>
      <c r="G66" s="1"/>
      <c r="H66" s="1"/>
      <c r="I66" s="1"/>
      <c r="J66" s="188"/>
      <c r="K66" s="69" t="s">
        <v>103</v>
      </c>
      <c r="L66" s="64">
        <f t="shared" ref="L66:Q66" si="44">(C21+C19)/L19</f>
        <v>0.41647693473457603</v>
      </c>
      <c r="M66" s="57">
        <f t="shared" si="44"/>
        <v>0.14585113425465993</v>
      </c>
      <c r="N66" s="57">
        <f t="shared" si="44"/>
        <v>0.18177302168403264</v>
      </c>
      <c r="O66" s="57">
        <f t="shared" si="44"/>
        <v>0.19597530437786037</v>
      </c>
      <c r="P66" s="57">
        <f t="shared" si="44"/>
        <v>0.23047112488587426</v>
      </c>
      <c r="Q66" s="57">
        <f t="shared" si="44"/>
        <v>0.29342674673001307</v>
      </c>
      <c r="R66" s="145" t="s">
        <v>108</v>
      </c>
      <c r="S66" s="1"/>
      <c r="T66" s="1"/>
      <c r="U66" s="1"/>
      <c r="V66" s="1"/>
      <c r="W66" s="1"/>
      <c r="X66" s="1"/>
      <c r="Y66" s="1"/>
    </row>
    <row r="67" spans="2:25" ht="15" customHeight="1" x14ac:dyDescent="0.25">
      <c r="B67" s="1"/>
      <c r="C67" s="1"/>
      <c r="D67" s="1"/>
      <c r="E67" s="1"/>
      <c r="F67" s="1"/>
      <c r="G67" s="1"/>
      <c r="H67" s="1"/>
      <c r="I67" s="1"/>
      <c r="J67" s="188"/>
      <c r="K67" s="68" t="s">
        <v>104</v>
      </c>
      <c r="L67" s="62">
        <f t="shared" ref="L67:P67" si="45">L11/L5</f>
        <v>0.27792433746259571</v>
      </c>
      <c r="M67" s="56">
        <f t="shared" si="45"/>
        <v>0.74421164633275971</v>
      </c>
      <c r="N67" s="56">
        <f t="shared" si="45"/>
        <v>0.46467985556629204</v>
      </c>
      <c r="O67" s="56">
        <f t="shared" si="45"/>
        <v>0.395504726272976</v>
      </c>
      <c r="P67" s="56">
        <f t="shared" si="45"/>
        <v>0.24781678559108614</v>
      </c>
      <c r="Q67" s="56">
        <f t="shared" ref="Q67" si="46">Q11/Q5</f>
        <v>0.1326951566043594</v>
      </c>
      <c r="R67" s="145" t="s">
        <v>108</v>
      </c>
      <c r="S67" s="1"/>
      <c r="T67" s="1"/>
      <c r="U67" s="1"/>
      <c r="V67" s="1"/>
      <c r="W67" s="1"/>
      <c r="X67" s="1"/>
      <c r="Y67" s="1"/>
    </row>
    <row r="68" spans="2:25" ht="15" customHeight="1" x14ac:dyDescent="0.25">
      <c r="B68" s="1"/>
      <c r="C68" s="1"/>
      <c r="D68" s="1"/>
      <c r="E68" s="1"/>
      <c r="F68" s="1"/>
      <c r="G68" s="2"/>
      <c r="H68" s="1"/>
      <c r="I68" s="1"/>
      <c r="J68" s="188"/>
      <c r="K68" s="68" t="s">
        <v>105</v>
      </c>
      <c r="L68" s="62">
        <f t="shared" ref="L68:P68" si="47">(L11-L49)/L5</f>
        <v>6.6052751899347284E-2</v>
      </c>
      <c r="M68" s="56">
        <f t="shared" si="47"/>
        <v>0.62467719546044731</v>
      </c>
      <c r="N68" s="56">
        <f t="shared" si="47"/>
        <v>0.20637746020444492</v>
      </c>
      <c r="O68" s="56">
        <f t="shared" si="47"/>
        <v>9.3547609937219278E-2</v>
      </c>
      <c r="P68" s="56">
        <f t="shared" si="47"/>
        <v>-3.5790376800366591E-2</v>
      </c>
      <c r="Q68" s="56">
        <f t="shared" ref="Q68" si="48">(Q11-Q49)/Q5</f>
        <v>-0.2712514110121661</v>
      </c>
      <c r="R68" s="145" t="s">
        <v>108</v>
      </c>
      <c r="S68" s="1"/>
      <c r="T68" s="1"/>
      <c r="U68" s="1"/>
      <c r="V68" s="1"/>
      <c r="W68" s="1"/>
      <c r="X68" s="1"/>
      <c r="Y68" s="1"/>
    </row>
    <row r="69" spans="2:25" ht="15.75" customHeight="1" x14ac:dyDescent="0.25">
      <c r="B69" s="2"/>
      <c r="C69" s="2"/>
      <c r="D69" s="2"/>
      <c r="E69" s="2"/>
      <c r="F69" s="2"/>
      <c r="G69" s="1"/>
      <c r="H69" s="2"/>
      <c r="I69" s="2"/>
      <c r="J69" s="188"/>
      <c r="K69" s="70" t="s">
        <v>106</v>
      </c>
      <c r="L69" s="63">
        <f t="shared" ref="L69:O69" si="49">L61/L59</f>
        <v>5.8275058275058279E-2</v>
      </c>
      <c r="M69" s="57">
        <f t="shared" si="49"/>
        <v>0.13043478260869565</v>
      </c>
      <c r="N69" s="57">
        <f t="shared" si="49"/>
        <v>0.11600928074245941</v>
      </c>
      <c r="O69" s="57">
        <f t="shared" si="49"/>
        <v>0.1529051987767584</v>
      </c>
      <c r="P69" s="57">
        <f t="shared" ref="P69" si="50">P61/P59</f>
        <v>0.11954572624028691</v>
      </c>
      <c r="Q69" s="57">
        <f>Q61/Q59</f>
        <v>0.2258610954263128</v>
      </c>
      <c r="R69" s="145" t="s">
        <v>108</v>
      </c>
      <c r="S69" s="1"/>
      <c r="T69" s="1"/>
      <c r="U69" s="1"/>
      <c r="V69" s="1"/>
      <c r="W69" s="1"/>
      <c r="X69" s="1"/>
      <c r="Y69" s="1"/>
    </row>
    <row r="70" spans="2:25" ht="15.75" customHeight="1" x14ac:dyDescent="0.25">
      <c r="B70" s="1"/>
      <c r="C70" s="1"/>
      <c r="D70" s="1"/>
      <c r="E70" s="1"/>
      <c r="F70" s="1"/>
      <c r="G70" s="1"/>
      <c r="H70" s="1"/>
      <c r="I70" s="1"/>
      <c r="J70" s="188"/>
      <c r="K70" s="68" t="s">
        <v>107</v>
      </c>
      <c r="L70" s="65" t="s">
        <v>108</v>
      </c>
      <c r="M70" s="58">
        <f>(AVERAGE(L48:M48)/D5*365)</f>
        <v>123.12026178826152</v>
      </c>
      <c r="N70" s="58">
        <f>(AVERAGE(M48:N48)/E5*365)</f>
        <v>118.57873616875074</v>
      </c>
      <c r="O70" s="58">
        <f>(AVERAGE(N48:O48)/F5*365)</f>
        <v>116.2766074161387</v>
      </c>
      <c r="P70" s="58">
        <f>(AVERAGE(O48:P48)/G5*365)</f>
        <v>110.71558683314784</v>
      </c>
      <c r="Q70" s="58">
        <f>(AVERAGE(P48:Q48)/H5*365)</f>
        <v>140.21173032049074</v>
      </c>
      <c r="R70" s="145" t="s">
        <v>108</v>
      </c>
      <c r="S70" s="1"/>
      <c r="T70" s="1"/>
      <c r="U70" s="1"/>
      <c r="V70" s="1"/>
      <c r="W70" s="1"/>
      <c r="X70" s="1"/>
      <c r="Y70" s="1"/>
    </row>
    <row r="71" spans="2:25" ht="15" customHeight="1" x14ac:dyDescent="0.25">
      <c r="B71" s="1"/>
      <c r="C71" s="1"/>
      <c r="D71" s="1"/>
      <c r="E71" s="1"/>
      <c r="F71" s="1"/>
      <c r="G71" s="1"/>
      <c r="H71" s="1"/>
      <c r="I71" s="1"/>
      <c r="J71" s="188"/>
      <c r="K71" s="68" t="s">
        <v>109</v>
      </c>
      <c r="L71" s="65" t="s">
        <v>108</v>
      </c>
      <c r="M71" s="58">
        <f>(AVERAGE(L23:M23)/D8*365)</f>
        <v>101.84643972473225</v>
      </c>
      <c r="N71" s="58">
        <f>(AVERAGE(M23:N23)/E8*365)</f>
        <v>103.7829362708584</v>
      </c>
      <c r="O71" s="58">
        <f>(AVERAGE(N23:O23)/F8*365)</f>
        <v>120.02801537282309</v>
      </c>
      <c r="P71" s="58">
        <f>(AVERAGE(O23:P23)/G8*365)</f>
        <v>117.01204526809163</v>
      </c>
      <c r="Q71" s="58">
        <f>(AVERAGE(P23:Q23)/H8*365)</f>
        <v>124.32128006868197</v>
      </c>
      <c r="R71" s="145" t="s">
        <v>108</v>
      </c>
      <c r="S71" s="1"/>
      <c r="T71" s="2"/>
      <c r="U71" s="2"/>
      <c r="V71" s="2"/>
      <c r="W71" s="2"/>
      <c r="X71" s="2"/>
      <c r="Y71" s="2"/>
    </row>
    <row r="72" spans="2:25" ht="15" customHeight="1" x14ac:dyDescent="0.25">
      <c r="B72" s="1"/>
      <c r="C72" s="1"/>
      <c r="D72" s="1"/>
      <c r="E72" s="1"/>
      <c r="F72" s="1"/>
      <c r="G72" s="1"/>
      <c r="H72" s="1"/>
      <c r="I72" s="1"/>
      <c r="J72" s="188"/>
      <c r="K72" s="71" t="s">
        <v>110</v>
      </c>
      <c r="L72" s="65" t="s">
        <v>108</v>
      </c>
      <c r="M72" s="58">
        <f>AVERAGE(L46:M46)/SUM(D9:D10)*365</f>
        <v>211.2367842429999</v>
      </c>
      <c r="N72" s="58">
        <f>AVERAGE(M46:N46)/SUM(E9:E10)*365</f>
        <v>219.86745706062973</v>
      </c>
      <c r="O72" s="58">
        <f>AVERAGE(N46:O46)/SUM(F9:F10)*365</f>
        <v>194.33657435155547</v>
      </c>
      <c r="P72" s="58">
        <f>AVERAGE(O46:P46)/SUM(G9:G10)*365</f>
        <v>335.99709151523689</v>
      </c>
      <c r="Q72" s="58">
        <f>AVERAGE(P46:Q46)/SUM(H9:H10)*365</f>
        <v>373.91536104243107</v>
      </c>
      <c r="R72" s="145" t="s">
        <v>108</v>
      </c>
      <c r="S72" s="118"/>
      <c r="T72" s="1"/>
      <c r="U72" s="1"/>
      <c r="V72" s="1"/>
      <c r="W72" s="1"/>
      <c r="X72" s="1"/>
      <c r="Y72" s="1"/>
    </row>
    <row r="73" spans="2:25" ht="15" customHeight="1" x14ac:dyDescent="0.25">
      <c r="B73" s="1"/>
      <c r="C73" s="1"/>
      <c r="D73" s="1"/>
      <c r="E73" s="1"/>
      <c r="F73" s="1"/>
      <c r="G73" s="1"/>
      <c r="H73" s="1"/>
      <c r="I73" s="1"/>
      <c r="J73" s="188"/>
      <c r="K73" s="68" t="s">
        <v>111</v>
      </c>
      <c r="L73" s="65" t="s">
        <v>112</v>
      </c>
      <c r="M73" s="58">
        <f t="shared" ref="M73:O73" si="51">M70+M72-M71</f>
        <v>232.51060630652916</v>
      </c>
      <c r="N73" s="58">
        <f t="shared" si="51"/>
        <v>234.66325695852208</v>
      </c>
      <c r="O73" s="58">
        <f t="shared" si="51"/>
        <v>190.5851663948711</v>
      </c>
      <c r="P73" s="58">
        <f t="shared" ref="P73:Q73" si="52">P70+P72-P71</f>
        <v>329.70063308029307</v>
      </c>
      <c r="Q73" s="58">
        <f t="shared" si="52"/>
        <v>389.8058112942399</v>
      </c>
      <c r="R73" s="145" t="s">
        <v>108</v>
      </c>
      <c r="S73" s="1"/>
      <c r="T73" s="1"/>
      <c r="U73" s="1"/>
      <c r="V73" s="1"/>
      <c r="W73" s="1"/>
      <c r="X73" s="1"/>
      <c r="Y73" s="1"/>
    </row>
    <row r="74" spans="2:25" ht="15" customHeight="1" x14ac:dyDescent="0.25">
      <c r="B74" s="1"/>
      <c r="C74" s="1"/>
      <c r="D74" s="1"/>
      <c r="E74" s="1"/>
      <c r="F74" s="1"/>
      <c r="G74" s="1"/>
      <c r="H74" s="1"/>
      <c r="I74" s="1"/>
      <c r="J74" s="188"/>
      <c r="K74" s="68" t="s">
        <v>119</v>
      </c>
      <c r="L74" s="65" t="s">
        <v>112</v>
      </c>
      <c r="M74" s="58">
        <f>((AVERAGE(L45,M45)/D5)*365)</f>
        <v>61.863210858289143</v>
      </c>
      <c r="N74" s="58">
        <f>((AVERAGE(M45,N45)/E5)*365)</f>
        <v>74.510597834445406</v>
      </c>
      <c r="O74" s="58">
        <f>((AVERAGE(N45,O45)/F5)*365)</f>
        <v>89.471947242215194</v>
      </c>
      <c r="P74" s="58">
        <f>((AVERAGE(O45,P45)/G5)*365)</f>
        <v>87.934866006224141</v>
      </c>
      <c r="Q74" s="58">
        <f>((AVERAGE(P45,Q45)/H5)*365)</f>
        <v>149.76976770901379</v>
      </c>
      <c r="R74" s="145" t="s">
        <v>108</v>
      </c>
      <c r="S74" s="1"/>
      <c r="T74" s="1"/>
      <c r="U74" s="1"/>
      <c r="V74" s="1"/>
      <c r="W74" s="1"/>
      <c r="X74" s="1"/>
      <c r="Y74" s="1"/>
    </row>
    <row r="75" spans="2:25" ht="15.75" customHeight="1" x14ac:dyDescent="0.25">
      <c r="B75" s="1"/>
      <c r="C75" s="1"/>
      <c r="D75" s="1"/>
      <c r="E75" s="1"/>
      <c r="F75" s="1"/>
      <c r="G75" s="1"/>
      <c r="H75" s="1"/>
      <c r="I75" s="1"/>
      <c r="J75" s="188"/>
      <c r="K75" s="71" t="s">
        <v>113</v>
      </c>
      <c r="L75" s="63">
        <f t="shared" ref="L75:Q75" si="53">C19/L11</f>
        <v>0.1077899443469805</v>
      </c>
      <c r="M75" s="57">
        <f t="shared" si="53"/>
        <v>5.8607733399891782E-2</v>
      </c>
      <c r="N75" s="57">
        <f t="shared" si="53"/>
        <v>8.2096968370362247E-2</v>
      </c>
      <c r="O75" s="57">
        <f t="shared" si="53"/>
        <v>7.1150924466102911E-2</v>
      </c>
      <c r="P75" s="57">
        <f t="shared" si="53"/>
        <v>0.10495189032754008</v>
      </c>
      <c r="Q75" s="57">
        <f t="shared" si="53"/>
        <v>0.14932543214276375</v>
      </c>
      <c r="R75" s="145" t="s">
        <v>108</v>
      </c>
      <c r="S75" s="1"/>
      <c r="T75" s="1"/>
      <c r="U75" s="1"/>
      <c r="V75" s="1"/>
      <c r="W75" s="1"/>
      <c r="X75" s="1"/>
      <c r="Y75" s="1"/>
    </row>
    <row r="76" spans="2:25" ht="15" customHeight="1" thickBot="1" x14ac:dyDescent="0.3">
      <c r="B76" s="1"/>
      <c r="C76" s="1"/>
      <c r="D76" s="1"/>
      <c r="E76" s="1"/>
      <c r="F76" s="1"/>
      <c r="G76" s="1"/>
      <c r="H76" s="1"/>
      <c r="I76" s="1"/>
      <c r="J76" s="188"/>
      <c r="K76" s="72" t="s">
        <v>114</v>
      </c>
      <c r="L76" s="66">
        <f t="shared" ref="L76:P76" si="54">(C13-C18)/C19</f>
        <v>16.351290393861586</v>
      </c>
      <c r="M76" s="59">
        <f t="shared" si="54"/>
        <v>3.9494097807757136</v>
      </c>
      <c r="N76" s="59">
        <f t="shared" si="54"/>
        <v>5.3161760784941068</v>
      </c>
      <c r="O76" s="59">
        <f t="shared" si="54"/>
        <v>8.7111619193424943</v>
      </c>
      <c r="P76" s="59">
        <f t="shared" si="54"/>
        <v>10.090887648731176</v>
      </c>
      <c r="Q76" s="59">
        <f>(H13-H18)/H19</f>
        <v>8.6976292467483631</v>
      </c>
      <c r="R76" s="146" t="s">
        <v>108</v>
      </c>
      <c r="S76" s="1"/>
      <c r="T76" s="1"/>
      <c r="U76" s="1"/>
      <c r="V76" s="1"/>
      <c r="W76" s="1"/>
      <c r="X76" s="1"/>
      <c r="Y76" s="1"/>
    </row>
    <row r="77" spans="2:25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84"/>
      <c r="L77" s="184"/>
      <c r="M77" s="184"/>
      <c r="N77" s="184"/>
      <c r="O77" s="184"/>
      <c r="P77" s="184"/>
      <c r="Q77" s="184"/>
      <c r="R77" s="1"/>
      <c r="S77" s="1"/>
      <c r="T77" s="1"/>
      <c r="U77" s="1"/>
      <c r="V77" s="1"/>
      <c r="W77" s="1"/>
      <c r="X77" s="1"/>
      <c r="Y77" s="1"/>
    </row>
    <row r="78" spans="2:25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4"/>
      <c r="M78" s="5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2:25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4"/>
      <c r="M79" s="5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2:25" ht="1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4"/>
      <c r="M80" s="5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2:25" ht="1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4"/>
      <c r="M81" s="5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2:25" ht="15" customHeight="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4"/>
      <c r="M82" s="5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2:25" ht="15" customHeight="1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4"/>
      <c r="M83" s="5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2:25" ht="15" customHeight="1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4"/>
      <c r="M84" s="5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2:25" ht="15.75" customHeight="1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4"/>
      <c r="M85" s="5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2:25" ht="15.75" customHeight="1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4"/>
      <c r="M86" s="5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2:25" ht="15.75" customHeight="1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4"/>
      <c r="M87" s="5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2:25" ht="15.75" customHeight="1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4"/>
      <c r="M88" s="5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2:25" ht="15.75" customHeight="1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4"/>
      <c r="M89" s="5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2:25" ht="15.75" customHeight="1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4"/>
      <c r="M90" s="5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2:25" ht="15.75" customHeight="1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4"/>
      <c r="M91" s="5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2:25" ht="15.75" customHeight="1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4"/>
      <c r="M92" s="5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2:25" ht="15.75" customHeight="1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4"/>
      <c r="M93" s="4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2:25" ht="15.75" customHeight="1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4"/>
      <c r="M94" s="4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2:25" ht="15.75" customHeight="1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4"/>
      <c r="M95" s="4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2:25" ht="15.75" customHeight="1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4"/>
      <c r="M96" s="4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2:25" ht="15.75" customHeight="1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4"/>
      <c r="M97" s="4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2:25" ht="15.75" customHeight="1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4"/>
      <c r="M98" s="4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2:25" ht="15.75" customHeight="1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4"/>
      <c r="M99" s="4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2:25" ht="15.75" customHeight="1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4"/>
      <c r="M100" s="4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2:25" ht="15.75" customHeight="1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4"/>
      <c r="M101" s="4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2:25" ht="15.75" customHeight="1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4"/>
      <c r="M102" s="4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2:25" ht="15.75" customHeight="1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4"/>
      <c r="M103" s="4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2:25" ht="15.75" customHeight="1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4"/>
      <c r="M104" s="4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2:25" ht="15.75" customHeight="1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4"/>
      <c r="M105" s="4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2:25" ht="15.75" customHeight="1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4"/>
      <c r="M106" s="4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2:25" ht="15.75" customHeight="1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4"/>
      <c r="M107" s="4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2:25" ht="15.75" customHeight="1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4"/>
      <c r="M108" s="4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2:25" ht="15.75" customHeight="1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4"/>
      <c r="M109" s="4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2:25" ht="15.75" customHeight="1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4"/>
      <c r="M110" s="4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2:25" ht="15.75" customHeight="1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4"/>
      <c r="M111" s="4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2:25" ht="15.75" customHeight="1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4"/>
      <c r="M112" s="4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2:25" ht="15.75" customHeight="1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4"/>
      <c r="M113" s="4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2:25" ht="15.75" customHeight="1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4"/>
      <c r="M114" s="4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2:25" ht="15.75" customHeight="1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4"/>
      <c r="M115" s="4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2:25" ht="15.75" customHeight="1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4"/>
      <c r="M116" s="4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2:25" ht="15.75" customHeight="1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4"/>
      <c r="M117" s="4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2:25" ht="15.75" customHeight="1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4"/>
      <c r="M118" s="4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2:25" ht="15.75" customHeight="1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4"/>
      <c r="M119" s="4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2:25" ht="15.75" customHeight="1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4"/>
      <c r="M120" s="4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2:25" ht="15.75" customHeight="1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4"/>
      <c r="M121" s="4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2:25" ht="15.75" customHeight="1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4"/>
      <c r="M122" s="4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2:25" ht="15.75" customHeight="1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4"/>
      <c r="M123" s="4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2:25" ht="15.75" customHeight="1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4"/>
      <c r="M124" s="4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2:25" ht="15.75" customHeight="1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4"/>
      <c r="M125" s="4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2:25" ht="15.75" customHeight="1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4"/>
      <c r="M126" s="4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2:25" ht="15.75" customHeight="1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4"/>
      <c r="M127" s="4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2:25" ht="15.75" customHeight="1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4"/>
      <c r="M128" s="4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2:25" ht="15.75" customHeight="1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4"/>
      <c r="M129" s="4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2:25" ht="15.75" customHeight="1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4"/>
      <c r="M130" s="4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2:25" ht="15.75" customHeight="1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4"/>
      <c r="M131" s="4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2:25" ht="15.75" customHeight="1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4"/>
      <c r="M132" s="4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2:25" ht="15.75" customHeight="1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4"/>
      <c r="M133" s="4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2:25" ht="15.75" customHeight="1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4"/>
      <c r="M134" s="4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2:25" ht="15.75" customHeight="1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4"/>
      <c r="M135" s="4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2:25" ht="15.75" customHeight="1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4"/>
      <c r="M136" s="4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2:25" ht="15.75" customHeight="1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4"/>
      <c r="M137" s="4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2:25" ht="15.75" customHeight="1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4"/>
      <c r="M138" s="4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2:25" ht="15.75" customHeight="1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4"/>
      <c r="M139" s="4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2:25" ht="15.75" customHeight="1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4"/>
      <c r="M140" s="4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2:25" ht="15.75" customHeight="1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4"/>
      <c r="M141" s="4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2:25" ht="15.75" customHeight="1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4"/>
      <c r="M142" s="4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2:25" ht="15.75" customHeight="1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4"/>
      <c r="M143" s="4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2:25" ht="15.75" customHeight="1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4"/>
      <c r="M144" s="4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2:25" ht="15.75" customHeight="1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4"/>
      <c r="M145" s="4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2:25" ht="15.75" customHeight="1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4"/>
      <c r="M146" s="4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2:25" ht="15.75" customHeight="1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4"/>
      <c r="M147" s="4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2:25" ht="15.75" customHeight="1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4"/>
      <c r="M148" s="4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2:25" ht="15.75" customHeight="1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4"/>
      <c r="M149" s="4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2:25" ht="15.75" customHeight="1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4"/>
      <c r="M150" s="4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2:25" ht="15.75" customHeight="1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4"/>
      <c r="M151" s="4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2:25" ht="15.75" customHeight="1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4"/>
      <c r="M152" s="4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2:25" ht="15.75" customHeight="1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4"/>
      <c r="M153" s="4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2:25" ht="15.75" customHeight="1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4"/>
      <c r="M154" s="4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2:25" ht="15.75" customHeight="1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4"/>
      <c r="M155" s="4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2:25" ht="15.75" customHeight="1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4"/>
      <c r="M156" s="4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2:25" ht="15.75" customHeight="1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4"/>
      <c r="M157" s="4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2:25" ht="15.75" customHeight="1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4"/>
      <c r="M158" s="4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2:25" ht="15.75" customHeight="1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4"/>
      <c r="M159" s="4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2:25" ht="15.75" customHeight="1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4"/>
      <c r="M160" s="4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2:25" ht="15.75" customHeight="1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4"/>
      <c r="M161" s="4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2:25" ht="15.75" customHeight="1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4"/>
      <c r="M162" s="4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2:25" ht="15.75" customHeight="1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4"/>
      <c r="M163" s="4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2:25" ht="15.75" customHeight="1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4"/>
      <c r="M164" s="4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2:25" ht="15.75" customHeight="1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4"/>
      <c r="M165" s="4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2:25" ht="15.75" customHeight="1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4"/>
      <c r="M166" s="4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2:25" ht="15.75" customHeight="1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4"/>
      <c r="M167" s="4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2:25" ht="15.75" customHeight="1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4"/>
      <c r="M168" s="4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2:25" ht="15.75" customHeight="1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4"/>
      <c r="M169" s="4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2:25" ht="15.75" customHeight="1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4"/>
      <c r="M170" s="4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2:25" ht="15.75" customHeight="1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4"/>
      <c r="M171" s="4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2:25" ht="15.75" customHeight="1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4"/>
      <c r="M172" s="4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2:25" ht="15.75" customHeight="1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4"/>
      <c r="M173" s="4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2:25" ht="15.75" customHeight="1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4"/>
      <c r="M174" s="4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2:25" ht="15.75" customHeight="1" x14ac:dyDescent="0.2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4"/>
      <c r="M175" s="4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2:25" ht="15.75" customHeight="1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4"/>
      <c r="M176" s="4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2:25" ht="15.75" customHeight="1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4"/>
      <c r="M177" s="4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2:25" ht="15.75" customHeight="1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4"/>
      <c r="M178" s="4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2:25" ht="15.75" customHeight="1" x14ac:dyDescent="0.2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4"/>
      <c r="M179" s="4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2:25" ht="15.75" customHeight="1" x14ac:dyDescent="0.2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4"/>
      <c r="M180" s="4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2:25" ht="15.75" customHeight="1" x14ac:dyDescent="0.2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4"/>
      <c r="M181" s="4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2:25" ht="15.75" customHeight="1" x14ac:dyDescent="0.2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4"/>
      <c r="M182" s="4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2:25" ht="15.75" customHeight="1" x14ac:dyDescent="0.2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4"/>
      <c r="M183" s="4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2:25" ht="15.75" customHeight="1" x14ac:dyDescent="0.2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4"/>
      <c r="M184" s="4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2:25" ht="15.75" customHeight="1" x14ac:dyDescent="0.2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4"/>
      <c r="M185" s="4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2:25" ht="15.75" customHeight="1" x14ac:dyDescent="0.2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4"/>
      <c r="M186" s="4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2:25" ht="15.75" customHeight="1" x14ac:dyDescent="0.2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4"/>
      <c r="M187" s="4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2:25" ht="15.75" customHeight="1" x14ac:dyDescent="0.2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4"/>
      <c r="M188" s="4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2:25" ht="15.75" customHeight="1" x14ac:dyDescent="0.2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4"/>
      <c r="M189" s="4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2:25" ht="15.75" customHeight="1" x14ac:dyDescent="0.2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4"/>
      <c r="M190" s="4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2:25" ht="15.75" customHeight="1" x14ac:dyDescent="0.2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4"/>
      <c r="M191" s="4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2:25" ht="15.75" customHeight="1" x14ac:dyDescent="0.2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4"/>
      <c r="M192" s="4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2:25" ht="15.75" customHeight="1" x14ac:dyDescent="0.2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4"/>
      <c r="M193" s="4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2:25" ht="15.75" customHeight="1" x14ac:dyDescent="0.2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4"/>
      <c r="M194" s="4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2:25" ht="15.75" customHeight="1" x14ac:dyDescent="0.2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4"/>
      <c r="M195" s="4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2:25" ht="15.75" customHeight="1" x14ac:dyDescent="0.2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4"/>
      <c r="M196" s="4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2:25" ht="15.75" customHeight="1" x14ac:dyDescent="0.2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4"/>
      <c r="M197" s="4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2:25" ht="15.75" customHeight="1" x14ac:dyDescent="0.2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4"/>
      <c r="M198" s="4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2:25" ht="15.75" customHeight="1" x14ac:dyDescent="0.2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4"/>
      <c r="M199" s="4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2:25" ht="15.75" customHeight="1" x14ac:dyDescent="0.2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4"/>
      <c r="M200" s="4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2:25" ht="15.75" customHeight="1" x14ac:dyDescent="0.2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4"/>
      <c r="M201" s="4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2:25" ht="15.75" customHeight="1" x14ac:dyDescent="0.2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4"/>
      <c r="M202" s="4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2:25" ht="15.75" customHeight="1" x14ac:dyDescent="0.2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4"/>
      <c r="M203" s="4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2:25" ht="15.75" customHeight="1" x14ac:dyDescent="0.2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4"/>
      <c r="M204" s="4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2:25" ht="15.75" customHeight="1" x14ac:dyDescent="0.2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4"/>
      <c r="M205" s="4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2:25" ht="15.75" customHeight="1" x14ac:dyDescent="0.2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4"/>
      <c r="M206" s="4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2:25" ht="15.75" customHeight="1" x14ac:dyDescent="0.2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4"/>
      <c r="M207" s="4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2:25" ht="15.75" customHeight="1" x14ac:dyDescent="0.2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4"/>
      <c r="M208" s="4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2:25" ht="15.75" customHeight="1" x14ac:dyDescent="0.2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4"/>
      <c r="M209" s="4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2:25" ht="15.75" customHeight="1" x14ac:dyDescent="0.2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4"/>
      <c r="M210" s="4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2:25" ht="15.75" customHeight="1" x14ac:dyDescent="0.2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4"/>
      <c r="M211" s="4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2:25" ht="15.75" customHeight="1" x14ac:dyDescent="0.2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4"/>
      <c r="M212" s="4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2:25" ht="15.75" customHeight="1" x14ac:dyDescent="0.2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4"/>
      <c r="M213" s="4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2:25" ht="15.75" customHeight="1" x14ac:dyDescent="0.2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4"/>
      <c r="M214" s="4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2:25" ht="15.75" customHeight="1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4"/>
      <c r="M215" s="4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2:25" ht="15.75" customHeight="1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4"/>
      <c r="M216" s="4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2:25" ht="15.75" customHeight="1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4"/>
      <c r="M217" s="4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2:25" ht="15.75" customHeight="1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4"/>
      <c r="M218" s="4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2:25" ht="15.75" customHeight="1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4"/>
      <c r="M219" s="4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2:25" ht="15.75" customHeight="1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4"/>
      <c r="M220" s="4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2:25" ht="15.75" customHeight="1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4"/>
      <c r="M221" s="4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2:25" ht="15.75" customHeight="1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4"/>
      <c r="M222" s="4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2:25" ht="15.75" customHeight="1" x14ac:dyDescent="0.2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4"/>
      <c r="M223" s="4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2:25" ht="15.75" customHeight="1" x14ac:dyDescent="0.2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4"/>
      <c r="M224" s="4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2:25" ht="15.75" customHeight="1" x14ac:dyDescent="0.2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4"/>
      <c r="M225" s="4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2:25" ht="15.75" customHeight="1" x14ac:dyDescent="0.2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4"/>
      <c r="M226" s="4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2:25" ht="15.75" customHeight="1" x14ac:dyDescent="0.2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4"/>
      <c r="M227" s="4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2:25" ht="15.75" customHeight="1" x14ac:dyDescent="0.2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4"/>
      <c r="M228" s="4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2:25" ht="15.75" customHeight="1" x14ac:dyDescent="0.2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4"/>
      <c r="M229" s="4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2:25" ht="15.75" customHeight="1" x14ac:dyDescent="0.2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4"/>
      <c r="M230" s="4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2:25" ht="15.75" customHeight="1" x14ac:dyDescent="0.2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4"/>
      <c r="M231" s="4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2:25" ht="15.75" customHeight="1" x14ac:dyDescent="0.2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4"/>
      <c r="M232" s="4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2:25" ht="15.75" customHeight="1" x14ac:dyDescent="0.2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4"/>
      <c r="M233" s="4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2:25" ht="15.75" customHeight="1" x14ac:dyDescent="0.2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4"/>
      <c r="M234" s="4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2:25" ht="15.75" customHeight="1" x14ac:dyDescent="0.2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4"/>
      <c r="M235" s="4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2:25" ht="15.75" customHeight="1" x14ac:dyDescent="0.2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4"/>
      <c r="M236" s="4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2:25" ht="15.75" customHeight="1" x14ac:dyDescent="0.2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4"/>
      <c r="M237" s="4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2:25" ht="15.75" customHeight="1" x14ac:dyDescent="0.2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4"/>
      <c r="M238" s="4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2:25" ht="15.75" customHeight="1" x14ac:dyDescent="0.2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4"/>
      <c r="M239" s="4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2:25" ht="15.75" customHeight="1" x14ac:dyDescent="0.2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4"/>
      <c r="M240" s="4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2:25" ht="15.75" customHeight="1" x14ac:dyDescent="0.2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4"/>
      <c r="M241" s="4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2:25" ht="15.75" customHeight="1" x14ac:dyDescent="0.2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4"/>
      <c r="M242" s="4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2:25" ht="15.75" customHeight="1" x14ac:dyDescent="0.2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4"/>
      <c r="M243" s="4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2:25" ht="15.75" customHeight="1" x14ac:dyDescent="0.2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4"/>
      <c r="M244" s="4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2:25" ht="15.75" customHeight="1" x14ac:dyDescent="0.2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4"/>
      <c r="M245" s="4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2:25" ht="15.75" customHeight="1" x14ac:dyDescent="0.2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4"/>
      <c r="M246" s="4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2:25" ht="15.75" customHeight="1" x14ac:dyDescent="0.2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4"/>
      <c r="M247" s="4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2:25" ht="15.75" customHeight="1" x14ac:dyDescent="0.2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4"/>
      <c r="M248" s="4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2:25" ht="15.75" customHeight="1" x14ac:dyDescent="0.2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4"/>
      <c r="M249" s="4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2:25" ht="15.75" customHeight="1" x14ac:dyDescent="0.2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4"/>
      <c r="M250" s="4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2:25" ht="15.75" customHeight="1" x14ac:dyDescent="0.2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4"/>
      <c r="M251" s="4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2:25" ht="15.75" customHeight="1" x14ac:dyDescent="0.2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4"/>
      <c r="M252" s="4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2:25" ht="15.75" customHeight="1" x14ac:dyDescent="0.2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4"/>
      <c r="M253" s="4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2:25" ht="15.75" customHeight="1" x14ac:dyDescent="0.2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4"/>
      <c r="M254" s="4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2:25" ht="15.75" customHeight="1" x14ac:dyDescent="0.2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4"/>
      <c r="M255" s="4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2:25" ht="15.75" customHeight="1" x14ac:dyDescent="0.2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4"/>
      <c r="M256" s="4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2:25" ht="15.75" customHeight="1" x14ac:dyDescent="0.2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4"/>
      <c r="M257" s="4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2:25" ht="15.75" customHeight="1" x14ac:dyDescent="0.2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4"/>
      <c r="M258" s="4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2:25" ht="15.75" customHeight="1" x14ac:dyDescent="0.2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4"/>
      <c r="M259" s="4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2:25" ht="15.75" customHeight="1" x14ac:dyDescent="0.2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4"/>
      <c r="M260" s="4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2:25" ht="15.75" customHeight="1" x14ac:dyDescent="0.2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4"/>
      <c r="M261" s="4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2:25" ht="15.75" customHeight="1" x14ac:dyDescent="0.2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4"/>
      <c r="M262" s="4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2:25" ht="15.75" customHeight="1" x14ac:dyDescent="0.2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4"/>
      <c r="M263" s="4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2:25" ht="15.75" customHeight="1" x14ac:dyDescent="0.2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4"/>
      <c r="M264" s="4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2:25" ht="15.75" customHeight="1" x14ac:dyDescent="0.2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4"/>
      <c r="M265" s="4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2:25" ht="15.75" customHeight="1" x14ac:dyDescent="0.2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4"/>
      <c r="M266" s="4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2:25" ht="15.75" customHeight="1" x14ac:dyDescent="0.2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4"/>
      <c r="M267" s="4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2:25" ht="15.75" customHeight="1" x14ac:dyDescent="0.2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4"/>
      <c r="M268" s="4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2:25" ht="15.75" customHeight="1" x14ac:dyDescent="0.2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4"/>
      <c r="M269" s="4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2:25" ht="15.75" customHeight="1" x14ac:dyDescent="0.2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4"/>
      <c r="M270" s="4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2:25" ht="15.75" customHeight="1" x14ac:dyDescent="0.2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4"/>
      <c r="M271" s="4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2:25" ht="15.75" customHeight="1" x14ac:dyDescent="0.2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4"/>
      <c r="M272" s="4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2:25" ht="15.75" customHeight="1" x14ac:dyDescent="0.2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4"/>
      <c r="M273" s="4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2:25" ht="15.75" customHeight="1" x14ac:dyDescent="0.2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4"/>
      <c r="M274" s="4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2:25" ht="15.75" customHeight="1" x14ac:dyDescent="0.2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4"/>
      <c r="M275" s="4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2:25" ht="15.75" customHeight="1" x14ac:dyDescent="0.2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4"/>
      <c r="M276" s="4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2:25" ht="15.75" customHeight="1" x14ac:dyDescent="0.2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4"/>
      <c r="M277" s="4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2:25" ht="15.75" customHeight="1" x14ac:dyDescent="0.2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4"/>
      <c r="M278" s="4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2:25" ht="15.75" customHeight="1" x14ac:dyDescent="0.2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4"/>
      <c r="M279" s="4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2:25" ht="15.75" customHeight="1" x14ac:dyDescent="0.2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4"/>
      <c r="M280" s="4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2:25" ht="15.75" customHeight="1" x14ac:dyDescent="0.2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4"/>
      <c r="M281" s="4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2:25" ht="15.75" customHeight="1" x14ac:dyDescent="0.2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4"/>
      <c r="M282" s="4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2:25" ht="15.75" customHeight="1" x14ac:dyDescent="0.2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4"/>
      <c r="M283" s="4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2:25" ht="15.75" customHeight="1" x14ac:dyDescent="0.2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4"/>
      <c r="M284" s="4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2:25" ht="15.75" customHeight="1" x14ac:dyDescent="0.2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4"/>
      <c r="M285" s="4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2:25" ht="15.75" customHeight="1" x14ac:dyDescent="0.2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4"/>
      <c r="M286" s="4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2:25" ht="15.75" customHeight="1" x14ac:dyDescent="0.2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4"/>
      <c r="M287" s="4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2:25" ht="15.75" customHeight="1" x14ac:dyDescent="0.2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4"/>
      <c r="M288" s="4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2:25" ht="15.75" customHeight="1" x14ac:dyDescent="0.2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4"/>
      <c r="M289" s="4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2:25" ht="15.75" customHeight="1" x14ac:dyDescent="0.2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4"/>
      <c r="M290" s="4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2:25" ht="15.75" customHeight="1" x14ac:dyDescent="0.2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4"/>
      <c r="M291" s="4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2:25" ht="15.75" customHeight="1" x14ac:dyDescent="0.2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4"/>
      <c r="M292" s="4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2:25" ht="15.75" customHeight="1" x14ac:dyDescent="0.2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4"/>
      <c r="M293" s="4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2:25" ht="15.75" customHeight="1" x14ac:dyDescent="0.2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4"/>
      <c r="M294" s="4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2:25" ht="15.75" customHeight="1" x14ac:dyDescent="0.2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4"/>
      <c r="M295" s="4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2:25" ht="15.75" customHeight="1" x14ac:dyDescent="0.2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4"/>
      <c r="M296" s="4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2:25" ht="15.75" customHeight="1" x14ac:dyDescent="0.2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4"/>
      <c r="M297" s="4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2:25" ht="15.75" customHeight="1" x14ac:dyDescent="0.2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4"/>
      <c r="M298" s="4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2:25" ht="15.75" customHeight="1" x14ac:dyDescent="0.2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4"/>
      <c r="M299" s="4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2:25" ht="15.75" customHeight="1" x14ac:dyDescent="0.2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4"/>
      <c r="M300" s="4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2:25" ht="15.75" customHeight="1" x14ac:dyDescent="0.2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4"/>
      <c r="M301" s="4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2:25" ht="15.75" customHeight="1" x14ac:dyDescent="0.2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4"/>
      <c r="M302" s="4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2:25" ht="15.75" customHeight="1" x14ac:dyDescent="0.2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4"/>
      <c r="M303" s="4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2:25" ht="15.75" customHeight="1" x14ac:dyDescent="0.2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4"/>
      <c r="M304" s="4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2:25" ht="15.75" customHeight="1" x14ac:dyDescent="0.2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4"/>
      <c r="M305" s="4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2:25" ht="15.75" customHeight="1" x14ac:dyDescent="0.2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4"/>
      <c r="M306" s="4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2:25" ht="15.75" customHeight="1" x14ac:dyDescent="0.2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4"/>
      <c r="M307" s="4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2:25" ht="15.75" customHeight="1" x14ac:dyDescent="0.2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4"/>
      <c r="M308" s="4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2:25" ht="15.75" customHeight="1" x14ac:dyDescent="0.2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4"/>
      <c r="M309" s="4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2:25" ht="15.75" customHeight="1" x14ac:dyDescent="0.2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4"/>
      <c r="M310" s="4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2:25" ht="15.75" customHeight="1" x14ac:dyDescent="0.2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4"/>
      <c r="M311" s="4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2:25" ht="15.75" customHeight="1" x14ac:dyDescent="0.2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4"/>
      <c r="M312" s="4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2:25" ht="15.75" customHeight="1" x14ac:dyDescent="0.2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4"/>
      <c r="M313" s="4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2:25" ht="15.75" customHeight="1" x14ac:dyDescent="0.2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4"/>
      <c r="M314" s="4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2:25" ht="15.75" customHeight="1" x14ac:dyDescent="0.2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4"/>
      <c r="M315" s="4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2:25" ht="15.75" customHeight="1" x14ac:dyDescent="0.2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4"/>
      <c r="M316" s="4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2:25" ht="15.75" customHeight="1" x14ac:dyDescent="0.2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4"/>
      <c r="M317" s="4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2:25" ht="15.75" customHeight="1" x14ac:dyDescent="0.2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4"/>
      <c r="M318" s="4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2:25" ht="15.75" customHeight="1" x14ac:dyDescent="0.2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4"/>
      <c r="M319" s="4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2:25" ht="15.75" customHeight="1" x14ac:dyDescent="0.2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4"/>
      <c r="M320" s="4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2:25" ht="15.75" customHeight="1" x14ac:dyDescent="0.2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4"/>
      <c r="M321" s="4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2:25" ht="15.75" customHeight="1" x14ac:dyDescent="0.2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4"/>
      <c r="M322" s="4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2:25" ht="15.75" customHeight="1" x14ac:dyDescent="0.2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4"/>
      <c r="M323" s="4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2:25" ht="15.75" customHeight="1" x14ac:dyDescent="0.2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4"/>
      <c r="M324" s="4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2:25" ht="15.75" customHeight="1" x14ac:dyDescent="0.2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4"/>
      <c r="M325" s="4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2:25" ht="15.75" customHeight="1" x14ac:dyDescent="0.2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4"/>
      <c r="M326" s="4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2:25" ht="15.75" customHeight="1" x14ac:dyDescent="0.2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4"/>
      <c r="M327" s="4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2:25" ht="15.75" customHeight="1" x14ac:dyDescent="0.2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4"/>
      <c r="M328" s="4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2:25" ht="15.75" customHeight="1" x14ac:dyDescent="0.2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4"/>
      <c r="M329" s="4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2:25" ht="15.75" customHeight="1" x14ac:dyDescent="0.2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4"/>
      <c r="M330" s="4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2:25" ht="15.75" customHeight="1" x14ac:dyDescent="0.2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4"/>
      <c r="M331" s="4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2:25" ht="15.75" customHeight="1" x14ac:dyDescent="0.2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4"/>
      <c r="M332" s="4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2:25" ht="15.75" customHeight="1" x14ac:dyDescent="0.2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4"/>
      <c r="M333" s="4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2:25" ht="15.75" customHeight="1" x14ac:dyDescent="0.2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4"/>
      <c r="M334" s="4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2:25" ht="15.75" customHeight="1" x14ac:dyDescent="0.2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4"/>
      <c r="M335" s="4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2:25" ht="15.75" customHeight="1" x14ac:dyDescent="0.2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4"/>
      <c r="M336" s="4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2:25" ht="15.75" customHeight="1" x14ac:dyDescent="0.2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"/>
      <c r="M337" s="4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2:25" ht="15.75" customHeight="1" x14ac:dyDescent="0.2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"/>
      <c r="M338" s="4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2:25" ht="15.75" customHeight="1" x14ac:dyDescent="0.2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"/>
      <c r="M339" s="4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2:25" ht="15.75" customHeight="1" x14ac:dyDescent="0.2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"/>
      <c r="M340" s="4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2:25" ht="15.75" customHeight="1" x14ac:dyDescent="0.2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"/>
      <c r="M341" s="4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2:25" ht="15.75" customHeight="1" x14ac:dyDescent="0.2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"/>
      <c r="M342" s="4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2:25" ht="15.75" customHeight="1" x14ac:dyDescent="0.2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"/>
      <c r="M343" s="4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2:25" ht="15.75" customHeight="1" x14ac:dyDescent="0.2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"/>
      <c r="M344" s="4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2:25" ht="15.75" customHeight="1" x14ac:dyDescent="0.2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"/>
      <c r="M345" s="4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2:25" ht="15.75" customHeight="1" x14ac:dyDescent="0.2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"/>
      <c r="M346" s="4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2:25" ht="15.75" customHeight="1" x14ac:dyDescent="0.2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"/>
      <c r="M347" s="4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2:25" ht="15.75" customHeight="1" x14ac:dyDescent="0.2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"/>
      <c r="M348" s="4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2:25" ht="15.75" customHeight="1" x14ac:dyDescent="0.2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"/>
      <c r="M349" s="4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2:25" ht="15.75" customHeight="1" x14ac:dyDescent="0.2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"/>
      <c r="M350" s="4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2:25" ht="15.75" customHeight="1" x14ac:dyDescent="0.2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"/>
      <c r="M351" s="4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2:25" ht="15.75" customHeight="1" x14ac:dyDescent="0.2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"/>
      <c r="M352" s="4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2:25" ht="15.75" customHeight="1" x14ac:dyDescent="0.2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"/>
      <c r="M353" s="4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2:25" ht="15.75" customHeight="1" x14ac:dyDescent="0.2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"/>
      <c r="M354" s="4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2:25" ht="15.75" customHeight="1" x14ac:dyDescent="0.2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"/>
      <c r="M355" s="4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2:25" ht="15.75" customHeight="1" x14ac:dyDescent="0.2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"/>
      <c r="M356" s="4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2:25" ht="15.75" customHeight="1" x14ac:dyDescent="0.2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"/>
      <c r="M357" s="4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2:25" ht="15.75" customHeight="1" x14ac:dyDescent="0.2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"/>
      <c r="M358" s="4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2:25" ht="15.75" customHeight="1" x14ac:dyDescent="0.2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"/>
      <c r="M359" s="4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2:25" ht="15.75" customHeight="1" x14ac:dyDescent="0.2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"/>
      <c r="M360" s="4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2:25" ht="15.75" customHeight="1" x14ac:dyDescent="0.2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"/>
      <c r="M361" s="4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2:25" ht="15.75" customHeight="1" x14ac:dyDescent="0.2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"/>
      <c r="M362" s="4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2:25" ht="15.75" customHeight="1" x14ac:dyDescent="0.2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"/>
      <c r="M363" s="4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2:25" ht="15.75" customHeight="1" x14ac:dyDescent="0.2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"/>
      <c r="M364" s="4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2:25" ht="15.75" customHeight="1" x14ac:dyDescent="0.2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"/>
      <c r="M365" s="4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2:25" ht="15.75" customHeight="1" x14ac:dyDescent="0.2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"/>
      <c r="M366" s="4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2:25" ht="15.75" customHeight="1" x14ac:dyDescent="0.2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"/>
      <c r="M367" s="4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2:25" ht="15.75" customHeight="1" x14ac:dyDescent="0.2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"/>
      <c r="M368" s="4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2:25" ht="15.75" customHeight="1" x14ac:dyDescent="0.2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"/>
      <c r="M369" s="4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2:25" ht="15.75" customHeight="1" x14ac:dyDescent="0.2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"/>
      <c r="M370" s="4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2:25" ht="15.75" customHeight="1" x14ac:dyDescent="0.2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"/>
      <c r="M371" s="4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2:25" ht="15.75" customHeight="1" x14ac:dyDescent="0.2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"/>
      <c r="M372" s="4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2:25" ht="15.75" customHeight="1" x14ac:dyDescent="0.2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"/>
      <c r="M373" s="4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2:25" ht="15.75" customHeight="1" x14ac:dyDescent="0.2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"/>
      <c r="M374" s="4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2:25" ht="15.75" customHeight="1" x14ac:dyDescent="0.2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"/>
      <c r="M375" s="4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2:25" ht="15.75" customHeight="1" x14ac:dyDescent="0.2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"/>
      <c r="M376" s="4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2:25" ht="15.75" customHeight="1" x14ac:dyDescent="0.2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"/>
      <c r="M377" s="4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2:25" ht="15.75" customHeight="1" x14ac:dyDescent="0.2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"/>
      <c r="M378" s="4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2:25" ht="15.75" customHeight="1" x14ac:dyDescent="0.2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"/>
      <c r="M379" s="4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2:25" ht="15.75" customHeight="1" x14ac:dyDescent="0.2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"/>
      <c r="M380" s="4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2:25" ht="15.75" customHeight="1" x14ac:dyDescent="0.2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"/>
      <c r="M381" s="4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2:25" ht="15.75" customHeight="1" x14ac:dyDescent="0.2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"/>
      <c r="M382" s="4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2:25" ht="15.75" customHeight="1" x14ac:dyDescent="0.2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"/>
      <c r="M383" s="4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2:25" ht="15.75" customHeight="1" x14ac:dyDescent="0.2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"/>
      <c r="M384" s="4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2:25" ht="15.75" customHeight="1" x14ac:dyDescent="0.2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"/>
      <c r="M385" s="4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2:25" ht="15.75" customHeight="1" x14ac:dyDescent="0.2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"/>
      <c r="M386" s="4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2:25" ht="15.75" customHeight="1" x14ac:dyDescent="0.2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"/>
      <c r="M387" s="4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2:25" ht="15.75" customHeight="1" x14ac:dyDescent="0.2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"/>
      <c r="M388" s="4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2:25" ht="15.75" customHeight="1" x14ac:dyDescent="0.2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"/>
      <c r="M389" s="4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2:25" ht="15.75" customHeight="1" x14ac:dyDescent="0.2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"/>
      <c r="M390" s="4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2:25" ht="15.75" customHeight="1" x14ac:dyDescent="0.2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"/>
      <c r="M391" s="4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2:25" ht="15.75" customHeight="1" x14ac:dyDescent="0.2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"/>
      <c r="M392" s="4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2:25" ht="15.75" customHeight="1" x14ac:dyDescent="0.2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"/>
      <c r="M393" s="4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2:25" ht="15.75" customHeight="1" x14ac:dyDescent="0.2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"/>
      <c r="M394" s="4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2:25" ht="15.75" customHeight="1" x14ac:dyDescent="0.2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"/>
      <c r="M395" s="4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2:25" ht="15.75" customHeight="1" x14ac:dyDescent="0.2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"/>
      <c r="M396" s="4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2:25" ht="15.75" customHeight="1" x14ac:dyDescent="0.2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"/>
      <c r="M397" s="4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2:25" ht="15.75" customHeight="1" x14ac:dyDescent="0.2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"/>
      <c r="M398" s="4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2:25" ht="15.75" customHeight="1" x14ac:dyDescent="0.2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"/>
      <c r="M399" s="4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2:25" ht="15.75" customHeight="1" x14ac:dyDescent="0.2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"/>
      <c r="M400" s="4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2:25" ht="15.75" customHeight="1" x14ac:dyDescent="0.2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"/>
      <c r="M401" s="4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2:25" ht="15.75" customHeight="1" x14ac:dyDescent="0.2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"/>
      <c r="M402" s="4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2:25" ht="15.75" customHeight="1" x14ac:dyDescent="0.2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"/>
      <c r="M403" s="4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2:25" ht="15.75" customHeight="1" x14ac:dyDescent="0.2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"/>
      <c r="M404" s="4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2:25" ht="15.75" customHeight="1" x14ac:dyDescent="0.2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"/>
      <c r="M405" s="4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2:25" ht="15.75" customHeight="1" x14ac:dyDescent="0.2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"/>
      <c r="M406" s="4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2:25" ht="15.75" customHeight="1" x14ac:dyDescent="0.2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"/>
      <c r="M407" s="4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2:25" ht="15.75" customHeight="1" x14ac:dyDescent="0.2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"/>
      <c r="M408" s="4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2:25" ht="15.75" customHeight="1" x14ac:dyDescent="0.2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"/>
      <c r="M409" s="4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2:25" ht="15.75" customHeight="1" x14ac:dyDescent="0.2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"/>
      <c r="M410" s="4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2:25" ht="15.75" customHeight="1" x14ac:dyDescent="0.2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"/>
      <c r="M411" s="4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2:25" ht="15.75" customHeight="1" x14ac:dyDescent="0.2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"/>
      <c r="M412" s="4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2:25" ht="15.75" customHeight="1" x14ac:dyDescent="0.2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"/>
      <c r="M413" s="4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2:25" ht="15.75" customHeight="1" x14ac:dyDescent="0.2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"/>
      <c r="M414" s="4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2:25" ht="15.75" customHeight="1" x14ac:dyDescent="0.2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"/>
      <c r="M415" s="4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2:25" ht="15.75" customHeight="1" x14ac:dyDescent="0.2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"/>
      <c r="M416" s="4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2:25" ht="15.75" customHeight="1" x14ac:dyDescent="0.2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"/>
      <c r="M417" s="4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2:25" ht="15.75" customHeight="1" x14ac:dyDescent="0.2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"/>
      <c r="M418" s="4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2:25" ht="15.75" customHeight="1" x14ac:dyDescent="0.2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"/>
      <c r="M419" s="4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2:25" ht="15.75" customHeight="1" x14ac:dyDescent="0.2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"/>
      <c r="M420" s="4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2:25" ht="15.75" customHeight="1" x14ac:dyDescent="0.2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"/>
      <c r="M421" s="4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2:25" ht="15.75" customHeight="1" x14ac:dyDescent="0.2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"/>
      <c r="M422" s="4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2:25" ht="15.75" customHeight="1" x14ac:dyDescent="0.2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"/>
      <c r="M423" s="4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2:25" ht="15.75" customHeight="1" x14ac:dyDescent="0.2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"/>
      <c r="M424" s="4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2:25" ht="15.75" customHeight="1" x14ac:dyDescent="0.2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"/>
      <c r="M425" s="4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2:25" ht="15.75" customHeight="1" x14ac:dyDescent="0.2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"/>
      <c r="M426" s="4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2:25" ht="15.75" customHeight="1" x14ac:dyDescent="0.2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"/>
      <c r="M427" s="4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2:25" ht="15.75" customHeight="1" x14ac:dyDescent="0.2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"/>
      <c r="M428" s="4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2:25" ht="15.75" customHeight="1" x14ac:dyDescent="0.2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"/>
      <c r="M429" s="4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2:25" ht="15.75" customHeight="1" x14ac:dyDescent="0.2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"/>
      <c r="M430" s="4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2:25" ht="15.75" customHeight="1" x14ac:dyDescent="0.2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"/>
      <c r="M431" s="4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2:25" ht="15.75" customHeight="1" x14ac:dyDescent="0.2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"/>
      <c r="M432" s="4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2:25" ht="15.75" customHeight="1" x14ac:dyDescent="0.2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"/>
      <c r="M433" s="4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2:25" ht="15.75" customHeight="1" x14ac:dyDescent="0.2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"/>
      <c r="M434" s="4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2:25" ht="15.75" customHeight="1" x14ac:dyDescent="0.2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"/>
      <c r="M435" s="4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2:25" ht="15.75" customHeight="1" x14ac:dyDescent="0.2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"/>
      <c r="M436" s="4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2:25" ht="15.75" customHeight="1" x14ac:dyDescent="0.2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"/>
      <c r="M437" s="4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2:25" ht="15.75" customHeight="1" x14ac:dyDescent="0.2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"/>
      <c r="M438" s="4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2:25" ht="15.75" customHeight="1" x14ac:dyDescent="0.2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"/>
      <c r="M439" s="4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2:25" ht="15.75" customHeight="1" x14ac:dyDescent="0.2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"/>
      <c r="M440" s="4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2:25" ht="15.75" customHeight="1" x14ac:dyDescent="0.2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"/>
      <c r="M441" s="4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2:25" ht="15.75" customHeight="1" x14ac:dyDescent="0.2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"/>
      <c r="M442" s="4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2:25" ht="15.75" customHeight="1" x14ac:dyDescent="0.2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"/>
      <c r="M443" s="4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2:25" ht="15.75" customHeight="1" x14ac:dyDescent="0.2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"/>
      <c r="M444" s="4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2:25" ht="15.75" customHeight="1" x14ac:dyDescent="0.2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"/>
      <c r="M445" s="4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2:25" ht="15.75" customHeight="1" x14ac:dyDescent="0.2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"/>
      <c r="M446" s="4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2:25" ht="15.75" customHeight="1" x14ac:dyDescent="0.2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"/>
      <c r="M447" s="4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2:25" ht="15.75" customHeight="1" x14ac:dyDescent="0.2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"/>
      <c r="M448" s="4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2:25" ht="15.75" customHeight="1" x14ac:dyDescent="0.2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"/>
      <c r="M449" s="4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2:25" ht="15.75" customHeight="1" x14ac:dyDescent="0.2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"/>
      <c r="M450" s="4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2:25" ht="15.75" customHeight="1" x14ac:dyDescent="0.2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"/>
      <c r="M451" s="4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2:25" ht="15.75" customHeight="1" x14ac:dyDescent="0.2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"/>
      <c r="M452" s="4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2:25" ht="15.75" customHeight="1" x14ac:dyDescent="0.2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"/>
      <c r="M453" s="4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2:25" ht="15.75" customHeight="1" x14ac:dyDescent="0.2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"/>
      <c r="M454" s="4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2:25" ht="15.75" customHeight="1" x14ac:dyDescent="0.2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"/>
      <c r="M455" s="4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2:25" ht="15.75" customHeight="1" x14ac:dyDescent="0.2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"/>
      <c r="M456" s="4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2:25" ht="15.75" customHeight="1" x14ac:dyDescent="0.2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"/>
      <c r="M457" s="4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2:25" ht="15.75" customHeight="1" x14ac:dyDescent="0.2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"/>
      <c r="M458" s="4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2:25" ht="15.75" customHeight="1" x14ac:dyDescent="0.2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"/>
      <c r="M459" s="4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2:25" ht="15.75" customHeight="1" x14ac:dyDescent="0.2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"/>
      <c r="M460" s="4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2:25" ht="15.75" customHeight="1" x14ac:dyDescent="0.2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"/>
      <c r="M461" s="4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2:25" ht="15.75" customHeight="1" x14ac:dyDescent="0.2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"/>
      <c r="M462" s="4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2:25" ht="15.75" customHeight="1" x14ac:dyDescent="0.2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"/>
      <c r="M463" s="4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2:25" ht="15.75" customHeight="1" x14ac:dyDescent="0.2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"/>
      <c r="M464" s="4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2:25" ht="15.75" customHeight="1" x14ac:dyDescent="0.2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"/>
      <c r="M465" s="4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2:25" ht="15.75" customHeight="1" x14ac:dyDescent="0.2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"/>
      <c r="M466" s="4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2:25" ht="15.75" customHeight="1" x14ac:dyDescent="0.2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"/>
      <c r="M467" s="4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2:25" ht="15.75" customHeight="1" x14ac:dyDescent="0.2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"/>
      <c r="M468" s="4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2:25" ht="15.75" customHeight="1" x14ac:dyDescent="0.2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"/>
      <c r="M469" s="4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2:25" ht="15.75" customHeight="1" x14ac:dyDescent="0.2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"/>
      <c r="M470" s="4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2:25" ht="15.75" customHeight="1" x14ac:dyDescent="0.2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"/>
      <c r="M471" s="4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2:25" ht="15.75" customHeight="1" x14ac:dyDescent="0.2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"/>
      <c r="M472" s="4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2:25" ht="15.75" customHeight="1" x14ac:dyDescent="0.2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"/>
      <c r="M473" s="4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2:25" ht="15.75" customHeight="1" x14ac:dyDescent="0.2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"/>
      <c r="M474" s="4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2:25" ht="15.75" customHeight="1" x14ac:dyDescent="0.2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"/>
      <c r="M475" s="4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2:25" ht="15.75" customHeight="1" x14ac:dyDescent="0.2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"/>
      <c r="M476" s="4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2:25" ht="15.75" customHeight="1" x14ac:dyDescent="0.2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"/>
      <c r="M477" s="4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2:25" ht="15.75" customHeight="1" x14ac:dyDescent="0.2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"/>
      <c r="M478" s="4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2:25" ht="15.75" customHeight="1" x14ac:dyDescent="0.2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"/>
      <c r="M479" s="4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2:25" ht="15.75" customHeight="1" x14ac:dyDescent="0.2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"/>
      <c r="M480" s="4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2:25" ht="15.75" customHeight="1" x14ac:dyDescent="0.2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"/>
      <c r="M481" s="4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2:25" ht="15.75" customHeight="1" x14ac:dyDescent="0.2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"/>
      <c r="M482" s="4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2:25" ht="15.75" customHeight="1" x14ac:dyDescent="0.2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"/>
      <c r="M483" s="4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2:25" ht="15.75" customHeight="1" x14ac:dyDescent="0.2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"/>
      <c r="M484" s="4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2:25" ht="15.75" customHeight="1" x14ac:dyDescent="0.2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"/>
      <c r="M485" s="4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2:25" ht="15.75" customHeight="1" x14ac:dyDescent="0.2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"/>
      <c r="M486" s="4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2:25" ht="15.75" customHeight="1" x14ac:dyDescent="0.2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"/>
      <c r="M487" s="4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2:25" ht="15.75" customHeight="1" x14ac:dyDescent="0.2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"/>
      <c r="M488" s="4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2:25" ht="15.75" customHeight="1" x14ac:dyDescent="0.2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"/>
      <c r="M489" s="4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2:25" ht="15.75" customHeight="1" x14ac:dyDescent="0.2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"/>
      <c r="M490" s="4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2:25" ht="15.75" customHeight="1" x14ac:dyDescent="0.2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"/>
      <c r="M491" s="4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2:25" ht="15.75" customHeight="1" x14ac:dyDescent="0.2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"/>
      <c r="M492" s="4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2:25" ht="15.75" customHeight="1" x14ac:dyDescent="0.2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"/>
      <c r="M493" s="4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2:25" ht="15.75" customHeight="1" x14ac:dyDescent="0.2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"/>
      <c r="M494" s="4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2:25" ht="15.75" customHeight="1" x14ac:dyDescent="0.2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"/>
      <c r="M495" s="4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2:25" ht="15.75" customHeight="1" x14ac:dyDescent="0.2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"/>
      <c r="M496" s="4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2:25" ht="15.75" customHeight="1" x14ac:dyDescent="0.2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"/>
      <c r="M497" s="4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2:25" ht="15.75" customHeight="1" x14ac:dyDescent="0.2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"/>
      <c r="M498" s="4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2:25" ht="15.75" customHeight="1" x14ac:dyDescent="0.2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"/>
      <c r="M499" s="4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2:25" ht="15.75" customHeight="1" x14ac:dyDescent="0.2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"/>
      <c r="M500" s="4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2:25" ht="15.75" customHeight="1" x14ac:dyDescent="0.2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4"/>
      <c r="M501" s="4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2:25" ht="15.75" customHeight="1" x14ac:dyDescent="0.2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4"/>
      <c r="M502" s="4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2:25" ht="15.75" customHeight="1" x14ac:dyDescent="0.2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4"/>
      <c r="M503" s="4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2:25" ht="15.75" customHeight="1" x14ac:dyDescent="0.2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4"/>
      <c r="M504" s="4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2:25" ht="15.75" customHeight="1" x14ac:dyDescent="0.2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4"/>
      <c r="M505" s="4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2:25" ht="15.75" customHeight="1" x14ac:dyDescent="0.2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4"/>
      <c r="M506" s="4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2:25" ht="15.75" customHeight="1" x14ac:dyDescent="0.2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4"/>
      <c r="M507" s="4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2:25" ht="15.75" customHeight="1" x14ac:dyDescent="0.2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4"/>
      <c r="M508" s="4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2:25" ht="15.75" customHeight="1" x14ac:dyDescent="0.2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4"/>
      <c r="M509" s="4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2:25" ht="15.75" customHeight="1" x14ac:dyDescent="0.2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4"/>
      <c r="M510" s="4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2:25" ht="15.75" customHeight="1" x14ac:dyDescent="0.2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4"/>
      <c r="M511" s="4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2:25" ht="15.75" customHeight="1" x14ac:dyDescent="0.2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4"/>
      <c r="M512" s="4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2:25" ht="15.75" customHeight="1" x14ac:dyDescent="0.2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4"/>
      <c r="M513" s="4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2:25" ht="15.75" customHeight="1" x14ac:dyDescent="0.2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4"/>
      <c r="M514" s="4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2:25" ht="15.75" customHeight="1" x14ac:dyDescent="0.2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4"/>
      <c r="M515" s="4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2:25" ht="15.75" customHeight="1" x14ac:dyDescent="0.2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4"/>
      <c r="M516" s="4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2:25" ht="15.75" customHeight="1" x14ac:dyDescent="0.2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4"/>
      <c r="M517" s="4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2:25" ht="15.75" customHeight="1" x14ac:dyDescent="0.2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4"/>
      <c r="M518" s="4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2:25" ht="15.75" customHeight="1" x14ac:dyDescent="0.2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4"/>
      <c r="M519" s="4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2:25" ht="15.75" customHeight="1" x14ac:dyDescent="0.2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4"/>
      <c r="M520" s="4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2:25" ht="15.75" customHeight="1" x14ac:dyDescent="0.2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4"/>
      <c r="M521" s="4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2:25" ht="15.75" customHeight="1" x14ac:dyDescent="0.2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4"/>
      <c r="M522" s="4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2:25" ht="15.75" customHeight="1" x14ac:dyDescent="0.2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4"/>
      <c r="M523" s="4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2:25" ht="15.75" customHeight="1" x14ac:dyDescent="0.2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4"/>
      <c r="M524" s="4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2:25" ht="15.75" customHeight="1" x14ac:dyDescent="0.2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4"/>
      <c r="M525" s="4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2:25" ht="15.75" customHeight="1" x14ac:dyDescent="0.2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4"/>
      <c r="M526" s="4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2:25" ht="15.75" customHeight="1" x14ac:dyDescent="0.2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4"/>
      <c r="M527" s="4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2:25" ht="15.75" customHeight="1" x14ac:dyDescent="0.2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4"/>
      <c r="M528" s="4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2:25" ht="15.75" customHeight="1" x14ac:dyDescent="0.2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4"/>
      <c r="M529" s="4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2:25" ht="15.75" customHeight="1" x14ac:dyDescent="0.2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4"/>
      <c r="M530" s="4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2:25" ht="15.75" customHeight="1" x14ac:dyDescent="0.2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4"/>
      <c r="M531" s="4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2:25" ht="15.75" customHeight="1" x14ac:dyDescent="0.2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4"/>
      <c r="M532" s="4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2:25" ht="15.75" customHeight="1" x14ac:dyDescent="0.2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4"/>
      <c r="M533" s="4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2:25" ht="15.75" customHeight="1" x14ac:dyDescent="0.2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4"/>
      <c r="M534" s="4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2:25" ht="15.75" customHeight="1" x14ac:dyDescent="0.2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4"/>
      <c r="M535" s="4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2:25" ht="15.75" customHeight="1" x14ac:dyDescent="0.2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4"/>
      <c r="M536" s="4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2:25" ht="15.75" customHeight="1" x14ac:dyDescent="0.2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4"/>
      <c r="M537" s="4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2:25" ht="15.75" customHeight="1" x14ac:dyDescent="0.2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4"/>
      <c r="M538" s="4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2:25" ht="15.75" customHeight="1" x14ac:dyDescent="0.2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4"/>
      <c r="M539" s="4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2:25" ht="15.75" customHeight="1" x14ac:dyDescent="0.2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4"/>
      <c r="M540" s="4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2:25" ht="15.75" customHeight="1" x14ac:dyDescent="0.2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4"/>
      <c r="M541" s="4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2:25" ht="15.75" customHeight="1" x14ac:dyDescent="0.2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4"/>
      <c r="M542" s="4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2:25" ht="15.75" customHeight="1" x14ac:dyDescent="0.2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4"/>
      <c r="M543" s="4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2:25" ht="15.75" customHeight="1" x14ac:dyDescent="0.2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4"/>
      <c r="M544" s="4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2:25" ht="15.75" customHeight="1" x14ac:dyDescent="0.2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4"/>
      <c r="M545" s="4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2:25" ht="15.75" customHeight="1" x14ac:dyDescent="0.2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4"/>
      <c r="M546" s="4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2:25" ht="15.75" customHeight="1" x14ac:dyDescent="0.2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4"/>
      <c r="M547" s="4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2:25" ht="15.75" customHeight="1" x14ac:dyDescent="0.2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4"/>
      <c r="M548" s="4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2:25" ht="15.75" customHeight="1" x14ac:dyDescent="0.2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4"/>
      <c r="M549" s="4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2:25" ht="15.75" customHeight="1" x14ac:dyDescent="0.2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4"/>
      <c r="M550" s="4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2:25" ht="15.75" customHeight="1" x14ac:dyDescent="0.2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4"/>
      <c r="M551" s="4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2:25" ht="15.75" customHeight="1" x14ac:dyDescent="0.2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4"/>
      <c r="M552" s="4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2:25" ht="15.75" customHeight="1" x14ac:dyDescent="0.2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4"/>
      <c r="M553" s="4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2:25" ht="15.75" customHeight="1" x14ac:dyDescent="0.2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4"/>
      <c r="M554" s="4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2:25" ht="15.75" customHeight="1" x14ac:dyDescent="0.2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4"/>
      <c r="M555" s="4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2:25" ht="15.75" customHeight="1" x14ac:dyDescent="0.2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4"/>
      <c r="M556" s="4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2:25" ht="15.75" customHeight="1" x14ac:dyDescent="0.2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4"/>
      <c r="M557" s="4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2:25" ht="15.75" customHeight="1" x14ac:dyDescent="0.2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4"/>
      <c r="M558" s="4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2:25" ht="15.75" customHeight="1" x14ac:dyDescent="0.2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4"/>
      <c r="M559" s="4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2:25" ht="15.75" customHeight="1" x14ac:dyDescent="0.2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4"/>
      <c r="M560" s="4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2:25" ht="15.75" customHeight="1" x14ac:dyDescent="0.2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4"/>
      <c r="M561" s="4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2:25" ht="15.75" customHeight="1" x14ac:dyDescent="0.2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4"/>
      <c r="M562" s="4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2:25" ht="15.75" customHeight="1" x14ac:dyDescent="0.2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4"/>
      <c r="M563" s="4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2:25" ht="15.75" customHeight="1" x14ac:dyDescent="0.2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4"/>
      <c r="M564" s="4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2:25" ht="15.75" customHeight="1" x14ac:dyDescent="0.2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4"/>
      <c r="M565" s="4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2:25" ht="15.75" customHeight="1" x14ac:dyDescent="0.2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4"/>
      <c r="M566" s="4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2:25" ht="15.75" customHeight="1" x14ac:dyDescent="0.2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4"/>
      <c r="M567" s="4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2:25" ht="15.75" customHeight="1" x14ac:dyDescent="0.2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4"/>
      <c r="M568" s="4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2:25" ht="15.75" customHeight="1" x14ac:dyDescent="0.2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4"/>
      <c r="M569" s="4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2:25" ht="15.75" customHeight="1" x14ac:dyDescent="0.2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4"/>
      <c r="M570" s="4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2:25" ht="15.75" customHeight="1" x14ac:dyDescent="0.2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4"/>
      <c r="M571" s="4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2:25" ht="15.75" customHeight="1" x14ac:dyDescent="0.2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4"/>
      <c r="M572" s="4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2:25" ht="15.75" customHeight="1" x14ac:dyDescent="0.2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4"/>
      <c r="M573" s="4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2:25" ht="15.75" customHeight="1" x14ac:dyDescent="0.2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4"/>
      <c r="M574" s="4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2:25" ht="15.75" customHeight="1" x14ac:dyDescent="0.2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4"/>
      <c r="M575" s="4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2:25" ht="15.75" customHeight="1" x14ac:dyDescent="0.2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4"/>
      <c r="M576" s="4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2:25" ht="15.75" customHeight="1" x14ac:dyDescent="0.2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4"/>
      <c r="M577" s="4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2:25" ht="15.75" customHeight="1" x14ac:dyDescent="0.2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4"/>
      <c r="M578" s="4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2:25" ht="15.75" customHeight="1" x14ac:dyDescent="0.2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4"/>
      <c r="M579" s="4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2:25" ht="15.75" customHeight="1" x14ac:dyDescent="0.2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4"/>
      <c r="M580" s="4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2:25" ht="15.75" customHeight="1" x14ac:dyDescent="0.2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4"/>
      <c r="M581" s="4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2:25" ht="15.75" customHeight="1" x14ac:dyDescent="0.2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4"/>
      <c r="M582" s="4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2:25" ht="15.75" customHeight="1" x14ac:dyDescent="0.2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4"/>
      <c r="M583" s="4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2:25" ht="15.75" customHeight="1" x14ac:dyDescent="0.2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4"/>
      <c r="M584" s="4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2:25" ht="15.75" customHeight="1" x14ac:dyDescent="0.2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4"/>
      <c r="M585" s="4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2:25" ht="15.75" customHeight="1" x14ac:dyDescent="0.2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4"/>
      <c r="M586" s="4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2:25" ht="15.75" customHeight="1" x14ac:dyDescent="0.2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4"/>
      <c r="M587" s="4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2:25" ht="15.75" customHeight="1" x14ac:dyDescent="0.2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4"/>
      <c r="M588" s="4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2:25" ht="15.75" customHeight="1" x14ac:dyDescent="0.2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4"/>
      <c r="M589" s="4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2:25" ht="15.75" customHeight="1" x14ac:dyDescent="0.2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4"/>
      <c r="M590" s="4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2:25" ht="15.75" customHeight="1" x14ac:dyDescent="0.2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4"/>
      <c r="M591" s="4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2:25" ht="15.75" customHeight="1" x14ac:dyDescent="0.2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4"/>
      <c r="M592" s="4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2:25" ht="15.75" customHeight="1" x14ac:dyDescent="0.2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4"/>
      <c r="M593" s="4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2:25" ht="15.75" customHeight="1" x14ac:dyDescent="0.2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4"/>
      <c r="M594" s="4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2:25" ht="15.75" customHeight="1" x14ac:dyDescent="0.2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4"/>
      <c r="M595" s="4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2:25" ht="15.75" customHeight="1" x14ac:dyDescent="0.2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4"/>
      <c r="M596" s="4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2:25" ht="15.75" customHeight="1" x14ac:dyDescent="0.2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4"/>
      <c r="M597" s="4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2:25" ht="15.75" customHeight="1" x14ac:dyDescent="0.2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4"/>
      <c r="M598" s="4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2:25" ht="15.75" customHeight="1" x14ac:dyDescent="0.2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4"/>
      <c r="M599" s="4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2:25" ht="15.75" customHeight="1" x14ac:dyDescent="0.2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4"/>
      <c r="M600" s="4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2:25" ht="15.75" customHeight="1" x14ac:dyDescent="0.2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4"/>
      <c r="M601" s="4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2:25" ht="15.75" customHeight="1" x14ac:dyDescent="0.2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4"/>
      <c r="M602" s="4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2:25" ht="15.75" customHeight="1" x14ac:dyDescent="0.2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4"/>
      <c r="M603" s="4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2:25" ht="15.75" customHeight="1" x14ac:dyDescent="0.2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4"/>
      <c r="M604" s="4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2:25" ht="15.75" customHeight="1" x14ac:dyDescent="0.2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4"/>
      <c r="M605" s="4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2:25" ht="15.75" customHeight="1" x14ac:dyDescent="0.2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4"/>
      <c r="M606" s="4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2:25" ht="15.75" customHeight="1" x14ac:dyDescent="0.2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4"/>
      <c r="M607" s="4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2:25" ht="15.75" customHeight="1" x14ac:dyDescent="0.2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4"/>
      <c r="M608" s="4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2:25" ht="15.75" customHeight="1" x14ac:dyDescent="0.2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4"/>
      <c r="M609" s="4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2:25" ht="15.75" customHeight="1" x14ac:dyDescent="0.2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4"/>
      <c r="M610" s="4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2:25" ht="15.75" customHeight="1" x14ac:dyDescent="0.2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4"/>
      <c r="M611" s="4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2:25" ht="15.75" customHeight="1" x14ac:dyDescent="0.2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4"/>
      <c r="M612" s="4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2:25" ht="15.75" customHeight="1" x14ac:dyDescent="0.2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4"/>
      <c r="M613" s="4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2:25" ht="15.75" customHeight="1" x14ac:dyDescent="0.2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4"/>
      <c r="M614" s="4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2:25" ht="15.75" customHeight="1" x14ac:dyDescent="0.2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4"/>
      <c r="M615" s="4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2:25" ht="15.75" customHeight="1" x14ac:dyDescent="0.2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4"/>
      <c r="M616" s="4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2:25" ht="15.75" customHeight="1" x14ac:dyDescent="0.2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4"/>
      <c r="M617" s="4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2:25" ht="15.75" customHeight="1" x14ac:dyDescent="0.2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4"/>
      <c r="M618" s="4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2:25" ht="15.75" customHeight="1" x14ac:dyDescent="0.2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4"/>
      <c r="M619" s="4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2:25" ht="15.75" customHeight="1" x14ac:dyDescent="0.2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4"/>
      <c r="M620" s="4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2:25" ht="15.75" customHeight="1" x14ac:dyDescent="0.2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4"/>
      <c r="M621" s="4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2:25" ht="15.75" customHeight="1" x14ac:dyDescent="0.2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4"/>
      <c r="M622" s="4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2:25" ht="15.75" customHeight="1" x14ac:dyDescent="0.2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4"/>
      <c r="M623" s="4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2:25" ht="15.75" customHeight="1" x14ac:dyDescent="0.2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4"/>
      <c r="M624" s="4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2:25" ht="15.75" customHeight="1" x14ac:dyDescent="0.2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4"/>
      <c r="M625" s="4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2:25" ht="15.75" customHeight="1" x14ac:dyDescent="0.2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4"/>
      <c r="M626" s="4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2:25" ht="15.75" customHeight="1" x14ac:dyDescent="0.2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4"/>
      <c r="M627" s="4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2:25" ht="15.75" customHeight="1" x14ac:dyDescent="0.2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4"/>
      <c r="M628" s="4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2:25" ht="15.75" customHeight="1" x14ac:dyDescent="0.2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4"/>
      <c r="M629" s="4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2:25" ht="15.75" customHeight="1" x14ac:dyDescent="0.2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4"/>
      <c r="M630" s="4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2:25" ht="15.75" customHeight="1" x14ac:dyDescent="0.2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4"/>
      <c r="M631" s="4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2:25" ht="15.75" customHeight="1" x14ac:dyDescent="0.2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4"/>
      <c r="M632" s="4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2:25" ht="15.75" customHeight="1" x14ac:dyDescent="0.2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4"/>
      <c r="M633" s="4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2:25" ht="15.75" customHeight="1" x14ac:dyDescent="0.2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4"/>
      <c r="M634" s="4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2:25" ht="15.75" customHeight="1" x14ac:dyDescent="0.2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4"/>
      <c r="M635" s="4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2:25" ht="15.75" customHeight="1" x14ac:dyDescent="0.2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4"/>
      <c r="M636" s="4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2:25" ht="15.75" customHeight="1" x14ac:dyDescent="0.2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4"/>
      <c r="M637" s="4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2:25" ht="15.75" customHeight="1" x14ac:dyDescent="0.2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4"/>
      <c r="M638" s="4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2:25" ht="15.75" customHeight="1" x14ac:dyDescent="0.2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4"/>
      <c r="M639" s="4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2:25" ht="15.75" customHeight="1" x14ac:dyDescent="0.2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4"/>
      <c r="M640" s="4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2:25" ht="15.75" customHeight="1" x14ac:dyDescent="0.2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4"/>
      <c r="M641" s="4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2:25" ht="15.75" customHeight="1" x14ac:dyDescent="0.2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4"/>
      <c r="M642" s="4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2:25" ht="15.75" customHeight="1" x14ac:dyDescent="0.2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4"/>
      <c r="M643" s="4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2:25" ht="15.75" customHeight="1" x14ac:dyDescent="0.2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4"/>
      <c r="M644" s="4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2:25" ht="15.75" customHeight="1" x14ac:dyDescent="0.2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4"/>
      <c r="M645" s="4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2:25" ht="15.75" customHeight="1" x14ac:dyDescent="0.2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4"/>
      <c r="M646" s="4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2:25" ht="15.75" customHeight="1" x14ac:dyDescent="0.2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4"/>
      <c r="M647" s="4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2:25" ht="15.75" customHeight="1" x14ac:dyDescent="0.2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4"/>
      <c r="M648" s="4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2:25" ht="15.75" customHeight="1" x14ac:dyDescent="0.2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4"/>
      <c r="M649" s="4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2:25" ht="15.75" customHeight="1" x14ac:dyDescent="0.2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4"/>
      <c r="M650" s="4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2:25" ht="15.75" customHeight="1" x14ac:dyDescent="0.2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4"/>
      <c r="M651" s="4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2:25" ht="15.75" customHeight="1" x14ac:dyDescent="0.2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4"/>
      <c r="M652" s="4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2:25" ht="15.75" customHeight="1" x14ac:dyDescent="0.2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4"/>
      <c r="M653" s="4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2:25" ht="15.75" customHeight="1" x14ac:dyDescent="0.2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4"/>
      <c r="M654" s="4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2:25" ht="15.75" customHeight="1" x14ac:dyDescent="0.2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4"/>
      <c r="M655" s="4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2:25" ht="15.75" customHeight="1" x14ac:dyDescent="0.2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4"/>
      <c r="M656" s="4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2:25" ht="15.75" customHeight="1" x14ac:dyDescent="0.2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4"/>
      <c r="M657" s="4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2:25" ht="15.75" customHeight="1" x14ac:dyDescent="0.2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4"/>
      <c r="M658" s="4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2:25" ht="15.75" customHeight="1" x14ac:dyDescent="0.2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4"/>
      <c r="M659" s="4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2:25" ht="15.75" customHeight="1" x14ac:dyDescent="0.2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4"/>
      <c r="M660" s="4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2:25" ht="15.75" customHeight="1" x14ac:dyDescent="0.2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4"/>
      <c r="M661" s="4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2:25" ht="15.75" customHeight="1" x14ac:dyDescent="0.2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4"/>
      <c r="M662" s="4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2:25" ht="15.75" customHeight="1" x14ac:dyDescent="0.2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4"/>
      <c r="M663" s="4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2:25" ht="15.75" customHeight="1" x14ac:dyDescent="0.2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4"/>
      <c r="M664" s="4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2:25" ht="15.75" customHeight="1" x14ac:dyDescent="0.2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4"/>
      <c r="M665" s="4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2:25" ht="15.75" customHeight="1" x14ac:dyDescent="0.2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4"/>
      <c r="M666" s="4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2:25" ht="15.75" customHeight="1" x14ac:dyDescent="0.2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4"/>
      <c r="M667" s="4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2:25" ht="15.75" customHeight="1" x14ac:dyDescent="0.2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4"/>
      <c r="M668" s="4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2:25" ht="15.75" customHeight="1" x14ac:dyDescent="0.2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4"/>
      <c r="M669" s="4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2:25" ht="15.75" customHeight="1" x14ac:dyDescent="0.2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4"/>
      <c r="M670" s="4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2:25" ht="15.75" customHeight="1" x14ac:dyDescent="0.2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4"/>
      <c r="M671" s="4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2:25" ht="15.75" customHeight="1" x14ac:dyDescent="0.2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4"/>
      <c r="M672" s="4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2:25" ht="15.75" customHeight="1" x14ac:dyDescent="0.2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4"/>
      <c r="M673" s="4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2:25" ht="15.75" customHeight="1" x14ac:dyDescent="0.2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4"/>
      <c r="M674" s="4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2:25" ht="15.75" customHeight="1" x14ac:dyDescent="0.2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4"/>
      <c r="M675" s="4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2:25" ht="15.75" customHeight="1" x14ac:dyDescent="0.2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4"/>
      <c r="M676" s="4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2:25" ht="15.75" customHeight="1" x14ac:dyDescent="0.2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4"/>
      <c r="M677" s="4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2:25" ht="15.75" customHeight="1" x14ac:dyDescent="0.2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4"/>
      <c r="M678" s="4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2:25" ht="15.75" customHeight="1" x14ac:dyDescent="0.2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4"/>
      <c r="M679" s="4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2:25" ht="15.75" customHeight="1" x14ac:dyDescent="0.2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4"/>
      <c r="M680" s="4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2:25" ht="15.75" customHeight="1" x14ac:dyDescent="0.2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4"/>
      <c r="M681" s="4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2:25" ht="15.75" customHeight="1" x14ac:dyDescent="0.2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4"/>
      <c r="M682" s="4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2:25" ht="15.75" customHeight="1" x14ac:dyDescent="0.2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4"/>
      <c r="M683" s="4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2:25" ht="15.75" customHeight="1" x14ac:dyDescent="0.2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4"/>
      <c r="M684" s="4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2:25" ht="15.75" customHeight="1" x14ac:dyDescent="0.2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4"/>
      <c r="M685" s="4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2:25" ht="15.75" customHeight="1" x14ac:dyDescent="0.2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4"/>
      <c r="M686" s="4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2:25" ht="15.75" customHeight="1" x14ac:dyDescent="0.2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4"/>
      <c r="M687" s="4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2:25" ht="15.75" customHeight="1" x14ac:dyDescent="0.2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4"/>
      <c r="M688" s="4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2:25" ht="15.75" customHeight="1" x14ac:dyDescent="0.2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4"/>
      <c r="M689" s="4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2:25" ht="15.75" customHeight="1" x14ac:dyDescent="0.2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4"/>
      <c r="M690" s="4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2:25" ht="15.75" customHeight="1" x14ac:dyDescent="0.2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4"/>
      <c r="M691" s="4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2:25" ht="15.75" customHeight="1" x14ac:dyDescent="0.2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4"/>
      <c r="M692" s="4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2:25" ht="15.75" customHeight="1" x14ac:dyDescent="0.2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4"/>
      <c r="M693" s="4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2:25" ht="15.75" customHeight="1" x14ac:dyDescent="0.2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4"/>
      <c r="M694" s="4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2:25" ht="15.75" customHeight="1" x14ac:dyDescent="0.2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4"/>
      <c r="M695" s="4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2:25" ht="15.75" customHeight="1" x14ac:dyDescent="0.2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4"/>
      <c r="M696" s="4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2:25" ht="15.75" customHeight="1" x14ac:dyDescent="0.2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4"/>
      <c r="M697" s="4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2:25" ht="15.75" customHeight="1" x14ac:dyDescent="0.2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4"/>
      <c r="M698" s="4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2:25" ht="15.75" customHeight="1" x14ac:dyDescent="0.2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4"/>
      <c r="M699" s="4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2:25" ht="15.75" customHeight="1" x14ac:dyDescent="0.2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4"/>
      <c r="M700" s="4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2:25" ht="15.75" customHeight="1" x14ac:dyDescent="0.2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4"/>
      <c r="M701" s="4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2:25" ht="15.75" customHeight="1" x14ac:dyDescent="0.2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4"/>
      <c r="M702" s="4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2:25" ht="15.75" customHeight="1" x14ac:dyDescent="0.2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4"/>
      <c r="M703" s="4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2:25" ht="15.75" customHeight="1" x14ac:dyDescent="0.2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4"/>
      <c r="M704" s="4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2:25" ht="15.75" customHeight="1" x14ac:dyDescent="0.2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4"/>
      <c r="M705" s="4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2:25" ht="15.75" customHeight="1" x14ac:dyDescent="0.2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4"/>
      <c r="M706" s="4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2:25" ht="15.75" customHeight="1" x14ac:dyDescent="0.2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4"/>
      <c r="M707" s="4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2:25" ht="15.75" customHeight="1" x14ac:dyDescent="0.2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4"/>
      <c r="M708" s="4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2:25" ht="15.75" customHeight="1" x14ac:dyDescent="0.2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4"/>
      <c r="M709" s="4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2:25" ht="15.75" customHeight="1" x14ac:dyDescent="0.2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4"/>
      <c r="M710" s="4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2:25" ht="15.75" customHeight="1" x14ac:dyDescent="0.2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4"/>
      <c r="M711" s="4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2:25" ht="15.75" customHeight="1" x14ac:dyDescent="0.2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4"/>
      <c r="M712" s="4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2:25" ht="15.75" customHeight="1" x14ac:dyDescent="0.2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4"/>
      <c r="M713" s="4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2:25" ht="15.75" customHeight="1" x14ac:dyDescent="0.2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4"/>
      <c r="M714" s="4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2:25" ht="15.75" customHeight="1" x14ac:dyDescent="0.2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4"/>
      <c r="M715" s="4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2:25" ht="15.75" customHeight="1" x14ac:dyDescent="0.2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4"/>
      <c r="M716" s="4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2:25" ht="15.75" customHeight="1" x14ac:dyDescent="0.2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4"/>
      <c r="M717" s="4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2:25" ht="15.75" customHeight="1" x14ac:dyDescent="0.2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4"/>
      <c r="M718" s="4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2:25" ht="15.75" customHeight="1" x14ac:dyDescent="0.2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4"/>
      <c r="M719" s="4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2:25" ht="15.75" customHeight="1" x14ac:dyDescent="0.2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4"/>
      <c r="M720" s="4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2:25" ht="15.75" customHeight="1" x14ac:dyDescent="0.2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4"/>
      <c r="M721" s="4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2:25" ht="15.75" customHeight="1" x14ac:dyDescent="0.2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4"/>
      <c r="M722" s="4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2:25" ht="15.75" customHeight="1" x14ac:dyDescent="0.2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4"/>
      <c r="M723" s="4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2:25" ht="15.75" customHeight="1" x14ac:dyDescent="0.2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4"/>
      <c r="M724" s="4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2:25" ht="15.75" customHeight="1" x14ac:dyDescent="0.2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4"/>
      <c r="M725" s="4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2:25" ht="15.75" customHeight="1" x14ac:dyDescent="0.2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4"/>
      <c r="M726" s="4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2:25" ht="15.75" customHeight="1" x14ac:dyDescent="0.2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4"/>
      <c r="M727" s="4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2:25" ht="15.75" customHeight="1" x14ac:dyDescent="0.2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4"/>
      <c r="M728" s="4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2:25" ht="15.75" customHeight="1" x14ac:dyDescent="0.2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4"/>
      <c r="M729" s="4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2:25" ht="15.75" customHeight="1" x14ac:dyDescent="0.2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4"/>
      <c r="M730" s="4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2:25" ht="15.75" customHeight="1" x14ac:dyDescent="0.2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4"/>
      <c r="M731" s="4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2:25" ht="15.75" customHeight="1" x14ac:dyDescent="0.2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4"/>
      <c r="M732" s="4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2:25" ht="15.75" customHeight="1" x14ac:dyDescent="0.2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4"/>
      <c r="M733" s="4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2:25" ht="15.75" customHeight="1" x14ac:dyDescent="0.2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4"/>
      <c r="M734" s="4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2:25" ht="15.75" customHeight="1" x14ac:dyDescent="0.2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4"/>
      <c r="M735" s="4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2:25" ht="15.75" customHeight="1" x14ac:dyDescent="0.2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4"/>
      <c r="M736" s="4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2:25" ht="15.75" customHeight="1" x14ac:dyDescent="0.2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4"/>
      <c r="M737" s="4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2:25" ht="15.75" customHeight="1" x14ac:dyDescent="0.2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4"/>
      <c r="M738" s="4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2:25" ht="15.75" customHeight="1" x14ac:dyDescent="0.2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4"/>
      <c r="M739" s="4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2:25" ht="15.75" customHeight="1" x14ac:dyDescent="0.2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4"/>
      <c r="M740" s="4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2:25" ht="15.75" customHeight="1" x14ac:dyDescent="0.2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4"/>
      <c r="M741" s="4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2:25" ht="15.75" customHeight="1" x14ac:dyDescent="0.2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4"/>
      <c r="M742" s="4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2:25" ht="15.75" customHeight="1" x14ac:dyDescent="0.2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4"/>
      <c r="M743" s="4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2:25" ht="15.75" customHeight="1" x14ac:dyDescent="0.2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4"/>
      <c r="M744" s="4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2:25" ht="15.75" customHeight="1" x14ac:dyDescent="0.2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4"/>
      <c r="M745" s="4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2:25" ht="15.75" customHeight="1" x14ac:dyDescent="0.2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4"/>
      <c r="M746" s="4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2:25" ht="15.75" customHeight="1" x14ac:dyDescent="0.2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4"/>
      <c r="M747" s="4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2:25" ht="15.75" customHeight="1" x14ac:dyDescent="0.2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4"/>
      <c r="M748" s="4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2:25" ht="15.75" customHeight="1" x14ac:dyDescent="0.2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4"/>
      <c r="M749" s="4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2:25" ht="15.75" customHeight="1" x14ac:dyDescent="0.2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4"/>
      <c r="M750" s="4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2:25" ht="15.75" customHeight="1" x14ac:dyDescent="0.2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4"/>
      <c r="M751" s="4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2:25" ht="15.75" customHeight="1" x14ac:dyDescent="0.2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4"/>
      <c r="M752" s="4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2:25" ht="15.75" customHeight="1" x14ac:dyDescent="0.2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4"/>
      <c r="M753" s="4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2:25" ht="15.75" customHeight="1" x14ac:dyDescent="0.2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4"/>
      <c r="M754" s="4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2:25" ht="15.75" customHeight="1" x14ac:dyDescent="0.2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4"/>
      <c r="M755" s="4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2:25" ht="15.75" customHeight="1" x14ac:dyDescent="0.2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4"/>
      <c r="M756" s="4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2:25" ht="15.75" customHeight="1" x14ac:dyDescent="0.2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4"/>
      <c r="M757" s="4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2:25" ht="15.75" customHeight="1" x14ac:dyDescent="0.2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4"/>
      <c r="M758" s="4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2:25" ht="15.75" customHeight="1" x14ac:dyDescent="0.2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4"/>
      <c r="M759" s="4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2:25" ht="15.75" customHeight="1" x14ac:dyDescent="0.2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4"/>
      <c r="M760" s="4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2:25" ht="15.75" customHeight="1" x14ac:dyDescent="0.2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4"/>
      <c r="M761" s="4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2:25" ht="15.75" customHeight="1" x14ac:dyDescent="0.2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4"/>
      <c r="M762" s="4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2:25" ht="15.75" customHeight="1" x14ac:dyDescent="0.2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4"/>
      <c r="M763" s="4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2:25" ht="15.75" customHeight="1" x14ac:dyDescent="0.2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4"/>
      <c r="M764" s="4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2:25" ht="15.75" customHeight="1" x14ac:dyDescent="0.2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4"/>
      <c r="M765" s="4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2:25" ht="15.75" customHeight="1" x14ac:dyDescent="0.2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4"/>
      <c r="M766" s="4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2:25" ht="15.75" customHeight="1" x14ac:dyDescent="0.2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4"/>
      <c r="M767" s="4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2:25" ht="15.75" customHeight="1" x14ac:dyDescent="0.2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4"/>
      <c r="M768" s="4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2:25" ht="15.75" customHeight="1" x14ac:dyDescent="0.2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4"/>
      <c r="M769" s="4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2:25" ht="15.75" customHeight="1" x14ac:dyDescent="0.2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4"/>
      <c r="M770" s="4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2:25" ht="15.75" customHeight="1" x14ac:dyDescent="0.25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4"/>
      <c r="M771" s="4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2:25" ht="15.75" customHeight="1" x14ac:dyDescent="0.25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4"/>
      <c r="M772" s="4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2:25" ht="15.75" customHeight="1" x14ac:dyDescent="0.25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4"/>
      <c r="M773" s="4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2:25" ht="15.75" customHeight="1" x14ac:dyDescent="0.25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4"/>
      <c r="M774" s="4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2:25" ht="15.75" customHeight="1" x14ac:dyDescent="0.25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4"/>
      <c r="M775" s="4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2:25" ht="15.75" customHeight="1" x14ac:dyDescent="0.25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4"/>
      <c r="M776" s="4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2:25" ht="15.75" customHeight="1" x14ac:dyDescent="0.25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4"/>
      <c r="M777" s="4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2:25" ht="15.75" customHeight="1" x14ac:dyDescent="0.2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4"/>
      <c r="M778" s="4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2:25" ht="15.75" customHeight="1" x14ac:dyDescent="0.25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4"/>
      <c r="M779" s="4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2:25" ht="15.75" customHeight="1" x14ac:dyDescent="0.25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4"/>
      <c r="M780" s="4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2:25" ht="15.75" customHeight="1" x14ac:dyDescent="0.25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4"/>
      <c r="M781" s="4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2:25" ht="15.75" customHeight="1" x14ac:dyDescent="0.25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4"/>
      <c r="M782" s="4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2:25" ht="15.75" customHeight="1" x14ac:dyDescent="0.25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4"/>
      <c r="M783" s="4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2:25" ht="15.75" customHeight="1" x14ac:dyDescent="0.25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4"/>
      <c r="M784" s="4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2:25" ht="15.75" customHeight="1" x14ac:dyDescent="0.25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4"/>
      <c r="M785" s="4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2:25" ht="15.75" customHeight="1" x14ac:dyDescent="0.2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4"/>
      <c r="M786" s="4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2:25" ht="15.75" customHeight="1" x14ac:dyDescent="0.25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4"/>
      <c r="M787" s="4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2:25" ht="15.75" customHeight="1" x14ac:dyDescent="0.25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4"/>
      <c r="M788" s="4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2:25" ht="15.75" customHeight="1" x14ac:dyDescent="0.25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4"/>
      <c r="M789" s="4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2:25" ht="15.75" customHeight="1" x14ac:dyDescent="0.25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4"/>
      <c r="M790" s="4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2:25" ht="15.75" customHeight="1" x14ac:dyDescent="0.25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4"/>
      <c r="M791" s="4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2:25" ht="15.75" customHeight="1" x14ac:dyDescent="0.25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4"/>
      <c r="M792" s="4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2:25" ht="15.75" customHeight="1" x14ac:dyDescent="0.25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4"/>
      <c r="M793" s="4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2:25" ht="15.75" customHeight="1" x14ac:dyDescent="0.2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4"/>
      <c r="M794" s="4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2:25" ht="15.75" customHeight="1" x14ac:dyDescent="0.25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4"/>
      <c r="M795" s="4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2:25" ht="15.75" customHeight="1" x14ac:dyDescent="0.25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4"/>
      <c r="M796" s="4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2:25" ht="15.75" customHeight="1" x14ac:dyDescent="0.25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4"/>
      <c r="M797" s="4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2:25" ht="15.75" customHeight="1" x14ac:dyDescent="0.25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4"/>
      <c r="M798" s="4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2:25" ht="15.75" customHeight="1" x14ac:dyDescent="0.25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4"/>
      <c r="M799" s="4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2:25" ht="15.75" customHeight="1" x14ac:dyDescent="0.25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4"/>
      <c r="M800" s="4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2:25" ht="15.75" customHeight="1" x14ac:dyDescent="0.25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4"/>
      <c r="M801" s="4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2:25" ht="15.75" customHeight="1" x14ac:dyDescent="0.2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4"/>
      <c r="M802" s="4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2:25" ht="15.75" customHeight="1" x14ac:dyDescent="0.25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4"/>
      <c r="M803" s="4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2:25" ht="15.75" customHeight="1" x14ac:dyDescent="0.25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4"/>
      <c r="M804" s="4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2:25" ht="15.75" customHeight="1" x14ac:dyDescent="0.25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4"/>
      <c r="M805" s="4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2:25" ht="15.75" customHeight="1" x14ac:dyDescent="0.25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4"/>
      <c r="M806" s="4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2:25" ht="15.75" customHeight="1" x14ac:dyDescent="0.25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4"/>
      <c r="M807" s="4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2:25" ht="15.75" customHeight="1" x14ac:dyDescent="0.25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4"/>
      <c r="M808" s="4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2:25" ht="15.75" customHeight="1" x14ac:dyDescent="0.25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4"/>
      <c r="M809" s="4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2:25" ht="15.75" customHeight="1" x14ac:dyDescent="0.2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4"/>
      <c r="M810" s="4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2:25" ht="15.75" customHeight="1" x14ac:dyDescent="0.25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4"/>
      <c r="M811" s="4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2:25" ht="15.75" customHeight="1" x14ac:dyDescent="0.25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4"/>
      <c r="M812" s="4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2:25" ht="15.75" customHeight="1" x14ac:dyDescent="0.25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4"/>
      <c r="M813" s="4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2:25" ht="15.75" customHeight="1" x14ac:dyDescent="0.25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4"/>
      <c r="M814" s="4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2:25" ht="15.75" customHeight="1" x14ac:dyDescent="0.25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4"/>
      <c r="M815" s="4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2:25" ht="15.75" customHeight="1" x14ac:dyDescent="0.25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4"/>
      <c r="M816" s="4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2:25" ht="15.75" customHeight="1" x14ac:dyDescent="0.25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4"/>
      <c r="M817" s="4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2:25" ht="15.75" customHeight="1" x14ac:dyDescent="0.25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4"/>
      <c r="M818" s="4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2:25" ht="15.75" customHeight="1" x14ac:dyDescent="0.25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4"/>
      <c r="M819" s="4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2:25" ht="15.75" customHeight="1" x14ac:dyDescent="0.25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4"/>
      <c r="M820" s="4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2:25" ht="15.75" customHeight="1" x14ac:dyDescent="0.25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4"/>
      <c r="M821" s="4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2:25" ht="15.75" customHeight="1" x14ac:dyDescent="0.25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4"/>
      <c r="M822" s="4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2:25" ht="15.75" customHeight="1" x14ac:dyDescent="0.25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4"/>
      <c r="M823" s="4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2:25" ht="15.75" customHeight="1" x14ac:dyDescent="0.25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4"/>
      <c r="M824" s="4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2:25" ht="15.75" customHeight="1" x14ac:dyDescent="0.25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4"/>
      <c r="M825" s="4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2:25" ht="15.75" customHeight="1" x14ac:dyDescent="0.25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4"/>
      <c r="M826" s="4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2:25" ht="15.75" customHeight="1" x14ac:dyDescent="0.25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4"/>
      <c r="M827" s="4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2:25" ht="15.75" customHeight="1" x14ac:dyDescent="0.25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4"/>
      <c r="M828" s="4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2:25" ht="15.75" customHeight="1" x14ac:dyDescent="0.25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4"/>
      <c r="M829" s="4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2:25" ht="15.75" customHeight="1" x14ac:dyDescent="0.25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4"/>
      <c r="M830" s="4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2:25" ht="15.75" customHeight="1" x14ac:dyDescent="0.25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4"/>
      <c r="M831" s="4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2:25" ht="15.75" customHeight="1" x14ac:dyDescent="0.25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4"/>
      <c r="M832" s="4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2:25" ht="15.75" customHeight="1" x14ac:dyDescent="0.25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4"/>
      <c r="M833" s="4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2:25" ht="15.75" customHeight="1" x14ac:dyDescent="0.25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4"/>
      <c r="M834" s="4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2:25" ht="15.75" customHeight="1" x14ac:dyDescent="0.25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4"/>
      <c r="M835" s="4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2:25" ht="15.75" customHeight="1" x14ac:dyDescent="0.25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4"/>
      <c r="M836" s="4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2:25" ht="15.75" customHeight="1" x14ac:dyDescent="0.25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4"/>
      <c r="M837" s="4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2:25" ht="15.75" customHeight="1" x14ac:dyDescent="0.25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4"/>
      <c r="M838" s="4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2:25" ht="15.75" customHeight="1" x14ac:dyDescent="0.25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4"/>
      <c r="M839" s="4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2:25" ht="15.75" customHeight="1" x14ac:dyDescent="0.25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4"/>
      <c r="M840" s="4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2:25" ht="15.75" customHeight="1" x14ac:dyDescent="0.25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4"/>
      <c r="M841" s="4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2:25" ht="15.75" customHeight="1" x14ac:dyDescent="0.25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4"/>
      <c r="M842" s="4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2:25" ht="15.75" customHeight="1" x14ac:dyDescent="0.25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4"/>
      <c r="M843" s="4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2:25" ht="15.75" customHeight="1" x14ac:dyDescent="0.25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4"/>
      <c r="M844" s="4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2:25" ht="15.75" customHeight="1" x14ac:dyDescent="0.25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4"/>
      <c r="M845" s="4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2:25" ht="15.75" customHeight="1" x14ac:dyDescent="0.25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4"/>
      <c r="M846" s="4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2:25" ht="15.75" customHeight="1" x14ac:dyDescent="0.25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4"/>
      <c r="M847" s="4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2:25" ht="15.75" customHeight="1" x14ac:dyDescent="0.25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4"/>
      <c r="M848" s="4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2:25" ht="15.75" customHeight="1" x14ac:dyDescent="0.25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4"/>
      <c r="M849" s="4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2:25" ht="15.75" customHeight="1" x14ac:dyDescent="0.25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4"/>
      <c r="M850" s="4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2:25" ht="15.75" customHeight="1" x14ac:dyDescent="0.25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4"/>
      <c r="M851" s="4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2:25" ht="15.75" customHeight="1" x14ac:dyDescent="0.25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4"/>
      <c r="M852" s="4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2:25" ht="15.75" customHeight="1" x14ac:dyDescent="0.25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4"/>
      <c r="M853" s="4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2:25" ht="15.75" customHeight="1" x14ac:dyDescent="0.25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4"/>
      <c r="M854" s="4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2:25" ht="15.75" customHeight="1" x14ac:dyDescent="0.25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4"/>
      <c r="M855" s="4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2:25" ht="15.75" customHeight="1" x14ac:dyDescent="0.25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4"/>
      <c r="M856" s="4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2:25" ht="15.75" customHeight="1" x14ac:dyDescent="0.25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4"/>
      <c r="M857" s="4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2:25" ht="15.75" customHeight="1" x14ac:dyDescent="0.25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4"/>
      <c r="M858" s="4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2:25" ht="15.75" customHeight="1" x14ac:dyDescent="0.25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4"/>
      <c r="M859" s="4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2:25" ht="15.75" customHeight="1" x14ac:dyDescent="0.25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4"/>
      <c r="M860" s="4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2:25" ht="15.75" customHeight="1" x14ac:dyDescent="0.25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4"/>
      <c r="M861" s="4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2:25" ht="15.75" customHeight="1" x14ac:dyDescent="0.25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4"/>
      <c r="M862" s="4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2:25" ht="15.75" customHeight="1" x14ac:dyDescent="0.25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4"/>
      <c r="M863" s="4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2:25" ht="15.75" customHeight="1" x14ac:dyDescent="0.25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4"/>
      <c r="M864" s="4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2:25" ht="15.75" customHeight="1" x14ac:dyDescent="0.25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4"/>
      <c r="M865" s="4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2:25" ht="15.75" customHeight="1" x14ac:dyDescent="0.25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4"/>
      <c r="M866" s="4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2:25" ht="15.75" customHeight="1" x14ac:dyDescent="0.25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4"/>
      <c r="M867" s="4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2:25" ht="15.75" customHeight="1" x14ac:dyDescent="0.25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4"/>
      <c r="M868" s="4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2:25" ht="15.75" customHeight="1" x14ac:dyDescent="0.25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4"/>
      <c r="M869" s="4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2:25" ht="15.75" customHeight="1" x14ac:dyDescent="0.25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4"/>
      <c r="M870" s="4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2:25" ht="15.75" customHeight="1" x14ac:dyDescent="0.25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4"/>
      <c r="M871" s="4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2:25" ht="15.75" customHeight="1" x14ac:dyDescent="0.25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4"/>
      <c r="M872" s="4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2:25" ht="15.75" customHeight="1" x14ac:dyDescent="0.25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4"/>
      <c r="M873" s="4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2:25" ht="15.75" customHeight="1" x14ac:dyDescent="0.25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4"/>
      <c r="M874" s="4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2:25" ht="15.75" customHeight="1" x14ac:dyDescent="0.25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4"/>
      <c r="M875" s="4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2:25" ht="15.75" customHeight="1" x14ac:dyDescent="0.25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4"/>
      <c r="M876" s="4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2:25" ht="15.75" customHeight="1" x14ac:dyDescent="0.25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4"/>
      <c r="M877" s="4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2:25" ht="15.75" customHeight="1" x14ac:dyDescent="0.25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4"/>
      <c r="M878" s="4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2:25" ht="15.75" customHeight="1" x14ac:dyDescent="0.25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4"/>
      <c r="M879" s="4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2:25" ht="15.75" customHeight="1" x14ac:dyDescent="0.25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4"/>
      <c r="M880" s="4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2:25" ht="15.75" customHeight="1" x14ac:dyDescent="0.25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4"/>
      <c r="M881" s="4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2:25" ht="15.75" customHeight="1" x14ac:dyDescent="0.25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4"/>
      <c r="M882" s="4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2:25" ht="15.75" customHeight="1" x14ac:dyDescent="0.25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4"/>
      <c r="M883" s="4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2:25" ht="15.75" customHeight="1" x14ac:dyDescent="0.25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4"/>
      <c r="M884" s="4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2:25" ht="15.75" customHeight="1" x14ac:dyDescent="0.25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4"/>
      <c r="M885" s="4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2:25" ht="15.75" customHeight="1" x14ac:dyDescent="0.25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4"/>
      <c r="M886" s="4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2:25" ht="15.75" customHeight="1" x14ac:dyDescent="0.25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4"/>
      <c r="M887" s="4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2:25" ht="15.75" customHeight="1" x14ac:dyDescent="0.25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4"/>
      <c r="M888" s="4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2:25" ht="15.75" customHeight="1" x14ac:dyDescent="0.25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4"/>
      <c r="M889" s="4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2:25" ht="15.75" customHeight="1" x14ac:dyDescent="0.25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4"/>
      <c r="M890" s="4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2:25" ht="15.75" customHeight="1" x14ac:dyDescent="0.25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4"/>
      <c r="M891" s="4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2:25" ht="15.75" customHeight="1" x14ac:dyDescent="0.25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4"/>
      <c r="M892" s="4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2:25" ht="15.75" customHeight="1" x14ac:dyDescent="0.25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4"/>
      <c r="M893" s="4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2:25" ht="15.75" customHeight="1" x14ac:dyDescent="0.25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4"/>
      <c r="M894" s="4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2:25" ht="15.75" customHeight="1" x14ac:dyDescent="0.25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4"/>
      <c r="M895" s="4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2:25" ht="15.75" customHeight="1" x14ac:dyDescent="0.25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4"/>
      <c r="M896" s="4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2:25" ht="15.75" customHeight="1" x14ac:dyDescent="0.25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4"/>
      <c r="M897" s="4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2:25" ht="15.75" customHeight="1" x14ac:dyDescent="0.25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4"/>
      <c r="M898" s="4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2:25" ht="15.75" customHeight="1" x14ac:dyDescent="0.25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4"/>
      <c r="M899" s="4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2:25" ht="15.75" customHeight="1" x14ac:dyDescent="0.25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4"/>
      <c r="M900" s="4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2:25" ht="15.75" customHeight="1" x14ac:dyDescent="0.25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4"/>
      <c r="M901" s="4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2:25" ht="15.75" customHeight="1" x14ac:dyDescent="0.25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4"/>
      <c r="M902" s="4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2:25" ht="15.75" customHeight="1" x14ac:dyDescent="0.25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4"/>
      <c r="M903" s="4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2:25" ht="15.75" customHeight="1" x14ac:dyDescent="0.25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4"/>
      <c r="M904" s="4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2:25" ht="15.75" customHeight="1" x14ac:dyDescent="0.25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4"/>
      <c r="M905" s="4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2:25" ht="15.75" customHeight="1" x14ac:dyDescent="0.25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4"/>
      <c r="M906" s="4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2:25" ht="15.75" customHeight="1" x14ac:dyDescent="0.25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4"/>
      <c r="M907" s="4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2:25" ht="15.75" customHeight="1" x14ac:dyDescent="0.25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4"/>
      <c r="M908" s="4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2:25" ht="15.75" customHeight="1" x14ac:dyDescent="0.25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4"/>
      <c r="M909" s="4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2:25" ht="15.75" customHeight="1" x14ac:dyDescent="0.25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4"/>
      <c r="M910" s="4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2:25" ht="15.75" customHeight="1" x14ac:dyDescent="0.25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4"/>
      <c r="M911" s="4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2:25" ht="15.75" customHeight="1" x14ac:dyDescent="0.25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4"/>
      <c r="M912" s="4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2:25" ht="15.75" customHeight="1" x14ac:dyDescent="0.25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4"/>
      <c r="M913" s="4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2:25" ht="15.75" customHeight="1" x14ac:dyDescent="0.25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4"/>
      <c r="M914" s="4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2:25" ht="15.75" customHeight="1" x14ac:dyDescent="0.25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4"/>
      <c r="M915" s="4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2:25" ht="15.75" customHeight="1" x14ac:dyDescent="0.25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4"/>
      <c r="M916" s="4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2:25" ht="15.75" customHeight="1" x14ac:dyDescent="0.25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4"/>
      <c r="M917" s="4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2:25" ht="15.75" customHeight="1" x14ac:dyDescent="0.25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4"/>
      <c r="M918" s="4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2:25" ht="15.75" customHeight="1" x14ac:dyDescent="0.25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4"/>
      <c r="M919" s="4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2:25" ht="15.75" customHeight="1" x14ac:dyDescent="0.25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4"/>
      <c r="M920" s="4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2:25" ht="15.75" customHeight="1" x14ac:dyDescent="0.25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4"/>
      <c r="M921" s="4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2:25" ht="15.75" customHeight="1" x14ac:dyDescent="0.25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4"/>
      <c r="M922" s="4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2:25" ht="15.75" customHeight="1" x14ac:dyDescent="0.25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4"/>
      <c r="M923" s="4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2:25" ht="15.75" customHeight="1" x14ac:dyDescent="0.25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4"/>
      <c r="M924" s="4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2:25" ht="15.75" customHeight="1" x14ac:dyDescent="0.25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4"/>
      <c r="M925" s="4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2:25" ht="15.75" customHeight="1" x14ac:dyDescent="0.25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4"/>
      <c r="M926" s="4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2:25" ht="15.75" customHeight="1" x14ac:dyDescent="0.25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4"/>
      <c r="M927" s="4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2:25" ht="15.75" customHeight="1" x14ac:dyDescent="0.25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4"/>
      <c r="M928" s="4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2:25" ht="15.75" customHeight="1" x14ac:dyDescent="0.25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4"/>
      <c r="M929" s="4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2:25" ht="15.75" customHeight="1" x14ac:dyDescent="0.25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4"/>
      <c r="M930" s="4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2:25" ht="15.75" customHeight="1" x14ac:dyDescent="0.25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4"/>
      <c r="M931" s="4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2:25" ht="15.75" customHeight="1" x14ac:dyDescent="0.25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4"/>
      <c r="M932" s="4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2:25" ht="15.75" customHeight="1" x14ac:dyDescent="0.25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4"/>
      <c r="M933" s="4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2:25" ht="15.75" customHeight="1" x14ac:dyDescent="0.25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4"/>
      <c r="M934" s="4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2:25" ht="15.75" customHeight="1" x14ac:dyDescent="0.25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4"/>
      <c r="M935" s="4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2:25" ht="15.75" customHeight="1" x14ac:dyDescent="0.25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4"/>
      <c r="M936" s="4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2:25" ht="15.75" customHeight="1" x14ac:dyDescent="0.25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4"/>
      <c r="M937" s="4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2:25" ht="15.75" customHeight="1" x14ac:dyDescent="0.25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4"/>
      <c r="M938" s="4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2:25" ht="15.75" customHeight="1" x14ac:dyDescent="0.25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4"/>
      <c r="M939" s="4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2:25" ht="15.75" customHeight="1" x14ac:dyDescent="0.25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4"/>
      <c r="M940" s="4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2:25" ht="15.75" customHeight="1" x14ac:dyDescent="0.25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4"/>
      <c r="M941" s="4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2:25" ht="15.75" customHeight="1" x14ac:dyDescent="0.25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4"/>
      <c r="M942" s="4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2:25" ht="15.75" customHeight="1" x14ac:dyDescent="0.25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4"/>
      <c r="M943" s="4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2:25" ht="15.75" customHeight="1" x14ac:dyDescent="0.25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4"/>
      <c r="M944" s="4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2:25" ht="15.75" customHeight="1" x14ac:dyDescent="0.25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4"/>
      <c r="M945" s="4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2:25" ht="15.75" customHeight="1" x14ac:dyDescent="0.25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4"/>
      <c r="M946" s="4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2:25" ht="15.75" customHeight="1" x14ac:dyDescent="0.25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4"/>
      <c r="M947" s="4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2:25" ht="15.75" customHeight="1" x14ac:dyDescent="0.25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4"/>
      <c r="M948" s="4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2:25" ht="15.75" customHeight="1" x14ac:dyDescent="0.25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4"/>
      <c r="M949" s="4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2:25" ht="15.75" customHeight="1" x14ac:dyDescent="0.25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4"/>
      <c r="M950" s="4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2:25" ht="15.75" customHeight="1" x14ac:dyDescent="0.25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4"/>
      <c r="M951" s="4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2:25" ht="15.75" customHeight="1" x14ac:dyDescent="0.25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4"/>
      <c r="M952" s="4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2:25" ht="15.75" customHeight="1" x14ac:dyDescent="0.25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4"/>
      <c r="M953" s="4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2:25" ht="15.75" customHeight="1" x14ac:dyDescent="0.25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4"/>
      <c r="M954" s="4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2:25" ht="15.75" customHeight="1" x14ac:dyDescent="0.25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4"/>
      <c r="M955" s="4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2:25" ht="15.75" customHeight="1" x14ac:dyDescent="0.25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4"/>
      <c r="M956" s="4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2:25" ht="15.75" customHeight="1" x14ac:dyDescent="0.25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4"/>
      <c r="M957" s="4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2:25" ht="15.75" customHeight="1" x14ac:dyDescent="0.25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4"/>
      <c r="M958" s="4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2:25" ht="15.75" customHeight="1" x14ac:dyDescent="0.25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4"/>
      <c r="M959" s="4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2:25" ht="15.75" customHeight="1" x14ac:dyDescent="0.25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4"/>
      <c r="M960" s="4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2:25" ht="15.75" customHeight="1" x14ac:dyDescent="0.25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4"/>
      <c r="M961" s="4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2:25" ht="15.75" customHeight="1" x14ac:dyDescent="0.25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4"/>
      <c r="M962" s="4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2:25" ht="15.75" customHeight="1" x14ac:dyDescent="0.25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4"/>
      <c r="M963" s="4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2:25" ht="15.75" customHeight="1" x14ac:dyDescent="0.25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4"/>
      <c r="M964" s="4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2:25" ht="15.75" customHeight="1" x14ac:dyDescent="0.25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4"/>
      <c r="M965" s="4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2:25" ht="15.75" customHeight="1" x14ac:dyDescent="0.25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4"/>
      <c r="M966" s="4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2:25" ht="15.75" customHeight="1" x14ac:dyDescent="0.25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4"/>
      <c r="M967" s="4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2:25" ht="15.75" customHeight="1" x14ac:dyDescent="0.25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4"/>
      <c r="M968" s="4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2:25" ht="15.75" customHeight="1" x14ac:dyDescent="0.25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4"/>
      <c r="M969" s="4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2:25" ht="15.75" customHeight="1" x14ac:dyDescent="0.25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4"/>
      <c r="M970" s="4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2:25" ht="15.75" customHeight="1" x14ac:dyDescent="0.25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4"/>
      <c r="M971" s="4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2:25" ht="15.75" customHeight="1" x14ac:dyDescent="0.25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4"/>
      <c r="M972" s="4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2:25" ht="15.75" customHeight="1" x14ac:dyDescent="0.25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4"/>
      <c r="M973" s="4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2:25" ht="15.75" customHeight="1" x14ac:dyDescent="0.25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4"/>
      <c r="M974" s="4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2:25" ht="15.75" customHeight="1" x14ac:dyDescent="0.25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4"/>
      <c r="M975" s="4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2:25" ht="15.75" customHeight="1" x14ac:dyDescent="0.25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4"/>
      <c r="M976" s="4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2:25" ht="15.75" customHeight="1" x14ac:dyDescent="0.25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4"/>
      <c r="M977" s="4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2:25" ht="15.75" customHeight="1" x14ac:dyDescent="0.25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4"/>
      <c r="M978" s="4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2:25" ht="15.75" customHeight="1" x14ac:dyDescent="0.25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4"/>
      <c r="M979" s="4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2:25" ht="15.75" customHeight="1" x14ac:dyDescent="0.25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4"/>
      <c r="M980" s="4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2:25" ht="15.75" customHeight="1" x14ac:dyDescent="0.25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4"/>
      <c r="M981" s="4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2:25" ht="15.75" customHeight="1" x14ac:dyDescent="0.25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4"/>
      <c r="M982" s="4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2:25" ht="15.75" customHeight="1" x14ac:dyDescent="0.25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4"/>
      <c r="M983" s="4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2:25" ht="15.75" customHeight="1" x14ac:dyDescent="0.25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4"/>
      <c r="M984" s="4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2:25" ht="15.75" customHeight="1" x14ac:dyDescent="0.25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4"/>
      <c r="M985" s="4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2:25" ht="15.75" customHeight="1" x14ac:dyDescent="0.25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4"/>
      <c r="M986" s="4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2:25" ht="15.75" customHeight="1" x14ac:dyDescent="0.25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4"/>
      <c r="M987" s="4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2:25" ht="15.75" customHeight="1" x14ac:dyDescent="0.25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4"/>
      <c r="M988" s="4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2:25" ht="15.75" customHeight="1" x14ac:dyDescent="0.25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4"/>
      <c r="M989" s="4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2:25" ht="15.75" customHeight="1" x14ac:dyDescent="0.25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4"/>
      <c r="M990" s="4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2:25" ht="15.75" customHeight="1" x14ac:dyDescent="0.25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4"/>
      <c r="M991" s="4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2:25" ht="15.75" customHeight="1" x14ac:dyDescent="0.25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4"/>
      <c r="M992" s="4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2:25" ht="15.75" customHeight="1" x14ac:dyDescent="0.25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4"/>
      <c r="M993" s="4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2:25" ht="15.75" customHeight="1" x14ac:dyDescent="0.25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4"/>
      <c r="M994" s="4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2:25" ht="15.75" customHeight="1" x14ac:dyDescent="0.25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4"/>
      <c r="M995" s="4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2:25" ht="15.75" customHeight="1" x14ac:dyDescent="0.25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4"/>
      <c r="M996" s="4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2:25" ht="15.75" customHeight="1" x14ac:dyDescent="0.25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4"/>
      <c r="M997" s="4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2:25" ht="15.75" customHeight="1" x14ac:dyDescent="0.25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4"/>
      <c r="M998" s="4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2:25" ht="15.75" customHeight="1" x14ac:dyDescent="0.25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4"/>
      <c r="M999" s="4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2:25" ht="15.75" customHeight="1" x14ac:dyDescent="0.25">
      <c r="J1000" s="1"/>
      <c r="K1000" s="1"/>
      <c r="L1000" s="4"/>
      <c r="M1000" s="4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2:25" ht="15.75" customHeight="1" x14ac:dyDescent="0.25">
      <c r="J1001" s="1"/>
      <c r="K1001" s="1"/>
      <c r="L1001" s="4"/>
      <c r="M1001" s="4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2:25" ht="15" customHeight="1" x14ac:dyDescent="0.25">
      <c r="K1002" s="1"/>
      <c r="L1002" s="4"/>
      <c r="M1002" s="4"/>
      <c r="N1002" s="1"/>
      <c r="O1002" s="1"/>
      <c r="P1002" s="1"/>
    </row>
  </sheetData>
  <mergeCells count="10">
    <mergeCell ref="B2:R2"/>
    <mergeCell ref="K77:Q77"/>
    <mergeCell ref="B49:H49"/>
    <mergeCell ref="K55:Q55"/>
    <mergeCell ref="B37:H37"/>
    <mergeCell ref="J3:J76"/>
    <mergeCell ref="B3:I3"/>
    <mergeCell ref="K56:R56"/>
    <mergeCell ref="B38:I38"/>
    <mergeCell ref="K3:R3"/>
  </mergeCells>
  <pageMargins left="0.55118110236220474" right="0.23622047244094491" top="0.27559055118110237" bottom="0.19685039370078741" header="0" footer="0"/>
  <pageSetup paperSize="9" scale="51" orientation="landscape" r:id="rId1"/>
  <ignoredErrors>
    <ignoredError sqref="P70:P73 M70:O72 Q70:Q74" formulaRange="1"/>
    <ignoredError sqref="F4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6625A-9910-47CF-AE7F-7FE71C539166}">
  <dimension ref="B2:R24"/>
  <sheetViews>
    <sheetView zoomScaleNormal="100" workbookViewId="0">
      <selection activeCell="H22" sqref="H22"/>
    </sheetView>
  </sheetViews>
  <sheetFormatPr defaultRowHeight="15" x14ac:dyDescent="0.25"/>
  <cols>
    <col min="1" max="1" width="4.28515625" customWidth="1"/>
    <col min="2" max="2" width="20.5703125" customWidth="1"/>
    <col min="3" max="3" width="9" bestFit="1" customWidth="1"/>
    <col min="4" max="4" width="8" bestFit="1" customWidth="1"/>
    <col min="5" max="5" width="11.7109375" bestFit="1" customWidth="1"/>
    <col min="6" max="6" width="8.85546875" bestFit="1" customWidth="1"/>
    <col min="7" max="7" width="5.140625" customWidth="1"/>
    <col min="8" max="8" width="22.7109375" style="168" customWidth="1"/>
    <col min="9" max="9" width="12.5703125" style="168" customWidth="1"/>
    <col min="10" max="10" width="9" style="168" bestFit="1" customWidth="1"/>
    <col min="11" max="11" width="11.7109375" style="168" bestFit="1" customWidth="1"/>
    <col min="12" max="12" width="8.85546875" style="168" bestFit="1" customWidth="1"/>
    <col min="13" max="13" width="4.7109375" style="168" customWidth="1"/>
    <col min="14" max="14" width="20.140625" customWidth="1"/>
    <col min="17" max="17" width="11.7109375" bestFit="1" customWidth="1"/>
    <col min="18" max="18" width="8.85546875" bestFit="1" customWidth="1"/>
  </cols>
  <sheetData>
    <row r="2" spans="2:18" x14ac:dyDescent="0.25">
      <c r="B2" s="198" t="s">
        <v>128</v>
      </c>
      <c r="C2" s="198"/>
      <c r="D2" s="198"/>
      <c r="E2" s="198"/>
      <c r="F2" s="198"/>
      <c r="H2" s="198" t="s">
        <v>127</v>
      </c>
      <c r="I2" s="198"/>
      <c r="J2" s="198"/>
      <c r="K2" s="198"/>
      <c r="L2" s="198"/>
      <c r="N2" s="198" t="s">
        <v>121</v>
      </c>
      <c r="O2" s="198"/>
      <c r="P2" s="198"/>
      <c r="Q2" s="198"/>
      <c r="R2" s="198"/>
    </row>
    <row r="3" spans="2:18" x14ac:dyDescent="0.25">
      <c r="B3" s="199" t="s">
        <v>129</v>
      </c>
      <c r="C3" s="169" t="s">
        <v>130</v>
      </c>
      <c r="D3" s="169" t="s">
        <v>131</v>
      </c>
      <c r="E3" s="169" t="s">
        <v>132</v>
      </c>
      <c r="F3" s="168"/>
      <c r="H3" s="199" t="s">
        <v>129</v>
      </c>
      <c r="I3" s="169" t="s">
        <v>130</v>
      </c>
      <c r="J3" s="169" t="s">
        <v>131</v>
      </c>
      <c r="K3" s="169" t="s">
        <v>132</v>
      </c>
      <c r="N3" s="199" t="s">
        <v>129</v>
      </c>
      <c r="O3" s="169" t="s">
        <v>130</v>
      </c>
      <c r="P3" s="169" t="s">
        <v>131</v>
      </c>
      <c r="Q3" s="169" t="s">
        <v>132</v>
      </c>
      <c r="R3" s="168"/>
    </row>
    <row r="4" spans="2:18" x14ac:dyDescent="0.25">
      <c r="B4" s="200"/>
      <c r="C4" s="170">
        <f>D4+E4</f>
        <v>3537</v>
      </c>
      <c r="D4" s="170">
        <f>548+399</f>
        <v>947</v>
      </c>
      <c r="E4" s="170">
        <v>2590</v>
      </c>
      <c r="F4" s="168"/>
      <c r="H4" s="200"/>
      <c r="I4" s="170">
        <f>J4+K4</f>
        <v>3665</v>
      </c>
      <c r="J4" s="170">
        <f>401+534</f>
        <v>935</v>
      </c>
      <c r="K4" s="170">
        <v>2730</v>
      </c>
      <c r="N4" s="200"/>
      <c r="O4" s="170">
        <f>P4+Q4</f>
        <v>3402</v>
      </c>
      <c r="P4" s="170">
        <f>348+O6458</f>
        <v>348</v>
      </c>
      <c r="Q4" s="170">
        <v>3054</v>
      </c>
      <c r="R4" s="168"/>
    </row>
    <row r="5" spans="2:18" x14ac:dyDescent="0.25">
      <c r="B5" s="196" t="s">
        <v>133</v>
      </c>
      <c r="C5" s="169" t="s">
        <v>134</v>
      </c>
      <c r="D5" s="169" t="s">
        <v>135</v>
      </c>
      <c r="E5" s="169" t="s">
        <v>136</v>
      </c>
      <c r="F5" s="169" t="s">
        <v>137</v>
      </c>
      <c r="H5" s="196" t="s">
        <v>133</v>
      </c>
      <c r="I5" s="169" t="s">
        <v>134</v>
      </c>
      <c r="J5" s="169" t="s">
        <v>135</v>
      </c>
      <c r="K5" s="169" t="s">
        <v>136</v>
      </c>
      <c r="L5" s="169" t="s">
        <v>137</v>
      </c>
      <c r="N5" s="196" t="s">
        <v>133</v>
      </c>
      <c r="O5" s="169" t="s">
        <v>134</v>
      </c>
      <c r="P5" s="169" t="s">
        <v>135</v>
      </c>
      <c r="Q5" s="169" t="s">
        <v>136</v>
      </c>
      <c r="R5" s="169" t="s">
        <v>137</v>
      </c>
    </row>
    <row r="6" spans="2:18" x14ac:dyDescent="0.25">
      <c r="B6" s="197"/>
      <c r="C6" s="170">
        <f>E4+399</f>
        <v>2989</v>
      </c>
      <c r="D6" s="170">
        <f>548*41%</f>
        <v>224.67999999999998</v>
      </c>
      <c r="E6" s="171">
        <f>548*39%</f>
        <v>213.72</v>
      </c>
      <c r="F6" s="171">
        <f>548*20%</f>
        <v>109.60000000000001</v>
      </c>
      <c r="H6" s="197"/>
      <c r="I6" s="170">
        <f>K4+401</f>
        <v>3131</v>
      </c>
      <c r="J6" s="170">
        <f>534*49%</f>
        <v>261.65999999999997</v>
      </c>
      <c r="K6" s="171">
        <f>534*30%</f>
        <v>160.19999999999999</v>
      </c>
      <c r="L6" s="171">
        <f>534*21%</f>
        <v>112.14</v>
      </c>
      <c r="N6" s="197"/>
      <c r="O6" s="170">
        <f>Q4+348</f>
        <v>3402</v>
      </c>
      <c r="P6" s="170">
        <f>458*42%</f>
        <v>192.35999999999999</v>
      </c>
      <c r="Q6" s="171">
        <f>458*24%</f>
        <v>109.92</v>
      </c>
      <c r="R6" s="171">
        <f>458*34%</f>
        <v>155.72</v>
      </c>
    </row>
    <row r="7" spans="2:18" x14ac:dyDescent="0.25">
      <c r="B7" s="172" t="s">
        <v>138</v>
      </c>
      <c r="C7" s="173">
        <v>1</v>
      </c>
      <c r="D7" s="171">
        <v>1235</v>
      </c>
      <c r="E7" s="168"/>
      <c r="F7" s="168"/>
      <c r="H7" s="172" t="s">
        <v>138</v>
      </c>
      <c r="I7" s="173">
        <v>1</v>
      </c>
      <c r="J7" s="171">
        <v>853</v>
      </c>
      <c r="N7" s="172" t="s">
        <v>138</v>
      </c>
      <c r="O7" s="173">
        <v>1</v>
      </c>
      <c r="P7" s="171">
        <v>1664</v>
      </c>
      <c r="Q7" s="168"/>
      <c r="R7" s="168"/>
    </row>
    <row r="8" spans="2:18" x14ac:dyDescent="0.25">
      <c r="B8" s="195" t="s">
        <v>134</v>
      </c>
      <c r="C8" s="173">
        <v>0.67</v>
      </c>
      <c r="D8" s="169" t="s">
        <v>132</v>
      </c>
      <c r="E8" s="169" t="s">
        <v>131</v>
      </c>
      <c r="F8" s="168"/>
      <c r="H8" s="195" t="s">
        <v>134</v>
      </c>
      <c r="I8" s="173">
        <v>0.67</v>
      </c>
      <c r="J8" s="169" t="s">
        <v>132</v>
      </c>
      <c r="K8" s="169" t="s">
        <v>131</v>
      </c>
      <c r="N8" s="195" t="s">
        <v>134</v>
      </c>
      <c r="O8" s="173">
        <v>0.65</v>
      </c>
      <c r="P8" s="169" t="s">
        <v>132</v>
      </c>
      <c r="Q8" s="169" t="s">
        <v>131</v>
      </c>
      <c r="R8" s="168"/>
    </row>
    <row r="9" spans="2:18" x14ac:dyDescent="0.25">
      <c r="B9" s="195"/>
      <c r="C9" s="174"/>
      <c r="D9" s="175">
        <v>0.73</v>
      </c>
      <c r="E9" s="175">
        <v>0.27</v>
      </c>
      <c r="F9" s="168"/>
      <c r="H9" s="195"/>
      <c r="I9" s="174"/>
      <c r="J9" s="175">
        <v>0.76</v>
      </c>
      <c r="K9" s="175">
        <v>0.24</v>
      </c>
      <c r="N9" s="195"/>
      <c r="O9" s="174"/>
      <c r="P9" s="175">
        <v>0.76</v>
      </c>
      <c r="Q9" s="175">
        <v>0.24</v>
      </c>
      <c r="R9" s="168"/>
    </row>
    <row r="10" spans="2:18" x14ac:dyDescent="0.25">
      <c r="B10" s="195"/>
      <c r="C10" s="170">
        <f>D7*C8</f>
        <v>827.45</v>
      </c>
      <c r="D10" s="170">
        <f>C10*D9</f>
        <v>604.0385</v>
      </c>
      <c r="E10" s="170">
        <f>C10*E9</f>
        <v>223.41150000000002</v>
      </c>
      <c r="F10" s="168"/>
      <c r="H10" s="195"/>
      <c r="I10" s="170">
        <f>J7*I8</f>
        <v>571.51</v>
      </c>
      <c r="J10" s="170">
        <f>I10*J9</f>
        <v>434.3476</v>
      </c>
      <c r="K10" s="170">
        <f>I10*K9</f>
        <v>137.16239999999999</v>
      </c>
      <c r="N10" s="195"/>
      <c r="O10" s="170">
        <f>P7*O8</f>
        <v>1081.6000000000001</v>
      </c>
      <c r="P10" s="170">
        <f>O10*P9</f>
        <v>822.01600000000008</v>
      </c>
      <c r="Q10" s="170">
        <f>O10*Q9</f>
        <v>259.584</v>
      </c>
      <c r="R10" s="168"/>
    </row>
    <row r="11" spans="2:18" x14ac:dyDescent="0.25">
      <c r="B11" s="195" t="s">
        <v>139</v>
      </c>
      <c r="C11" s="173">
        <v>0.36</v>
      </c>
      <c r="D11" s="169" t="s">
        <v>135</v>
      </c>
      <c r="E11" s="169" t="s">
        <v>136</v>
      </c>
      <c r="F11" s="169" t="s">
        <v>137</v>
      </c>
      <c r="H11" s="195" t="s">
        <v>139</v>
      </c>
      <c r="I11" s="173">
        <v>0.33</v>
      </c>
      <c r="J11" s="169" t="s">
        <v>135</v>
      </c>
      <c r="K11" s="169" t="s">
        <v>136</v>
      </c>
      <c r="L11" s="169" t="s">
        <v>137</v>
      </c>
      <c r="N11" s="195" t="s">
        <v>139</v>
      </c>
      <c r="O11" s="173">
        <v>0.35</v>
      </c>
      <c r="P11" s="169" t="s">
        <v>135</v>
      </c>
      <c r="Q11" s="169" t="s">
        <v>136</v>
      </c>
      <c r="R11" s="169" t="s">
        <v>137</v>
      </c>
    </row>
    <row r="12" spans="2:18" x14ac:dyDescent="0.25">
      <c r="B12" s="195"/>
      <c r="C12" s="174"/>
      <c r="D12" s="173">
        <v>0.55000000000000004</v>
      </c>
      <c r="E12" s="173">
        <v>0.27</v>
      </c>
      <c r="F12" s="173">
        <v>0.18</v>
      </c>
      <c r="H12" s="195"/>
      <c r="I12" s="174"/>
      <c r="J12" s="173">
        <v>0.56000000000000005</v>
      </c>
      <c r="K12" s="173">
        <v>0.26</v>
      </c>
      <c r="L12" s="173">
        <v>0.18</v>
      </c>
      <c r="N12" s="195"/>
      <c r="O12" s="174"/>
      <c r="P12" s="173">
        <v>0.63</v>
      </c>
      <c r="Q12" s="173">
        <v>0.2</v>
      </c>
      <c r="R12" s="173">
        <v>0.17</v>
      </c>
    </row>
    <row r="13" spans="2:18" x14ac:dyDescent="0.25">
      <c r="B13" s="195"/>
      <c r="C13" s="171">
        <f>D7*C11</f>
        <v>444.59999999999997</v>
      </c>
      <c r="D13" s="171">
        <f>C13*D12</f>
        <v>244.53</v>
      </c>
      <c r="E13" s="171">
        <f>C13*E12</f>
        <v>120.042</v>
      </c>
      <c r="F13" s="171">
        <f>C13*F12</f>
        <v>80.027999999999992</v>
      </c>
      <c r="H13" s="195"/>
      <c r="I13" s="171">
        <f>J7*I11</f>
        <v>281.49</v>
      </c>
      <c r="J13" s="171">
        <f>I13*J12</f>
        <v>157.63440000000003</v>
      </c>
      <c r="K13" s="171">
        <f>I13*K12</f>
        <v>73.187400000000011</v>
      </c>
      <c r="L13" s="171">
        <f>I13*L12</f>
        <v>50.668199999999999</v>
      </c>
      <c r="N13" s="195"/>
      <c r="O13" s="171">
        <f>P7*O11</f>
        <v>582.4</v>
      </c>
      <c r="P13" s="171">
        <f>O13*P12</f>
        <v>366.91199999999998</v>
      </c>
      <c r="Q13" s="171">
        <f>O13*Q12</f>
        <v>116.48</v>
      </c>
      <c r="R13" s="171">
        <f>O13*R12</f>
        <v>99.00800000000001</v>
      </c>
    </row>
    <row r="15" spans="2:18" x14ac:dyDescent="0.25">
      <c r="C15" s="177"/>
    </row>
    <row r="16" spans="2:18" x14ac:dyDescent="0.25">
      <c r="F16" t="s">
        <v>140</v>
      </c>
    </row>
    <row r="24" spans="17:17" x14ac:dyDescent="0.25">
      <c r="Q24" s="176" t="s">
        <v>140</v>
      </c>
    </row>
  </sheetData>
  <mergeCells count="15">
    <mergeCell ref="B2:F2"/>
    <mergeCell ref="H2:L2"/>
    <mergeCell ref="N2:R2"/>
    <mergeCell ref="B3:B4"/>
    <mergeCell ref="H3:H4"/>
    <mergeCell ref="N3:N4"/>
    <mergeCell ref="B11:B13"/>
    <mergeCell ref="H11:H13"/>
    <mergeCell ref="N11:N13"/>
    <mergeCell ref="B5:B6"/>
    <mergeCell ref="H5:H6"/>
    <mergeCell ref="N5:N6"/>
    <mergeCell ref="B8:B10"/>
    <mergeCell ref="H8:H10"/>
    <mergeCell ref="N8:N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 Sheet</vt:lpstr>
      <vt:lpstr>Sheet1</vt:lpstr>
      <vt:lpstr>'Summary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Lenovo</cp:lastModifiedBy>
  <cp:lastPrinted>2024-08-29T06:56:13Z</cp:lastPrinted>
  <dcterms:created xsi:type="dcterms:W3CDTF">2017-09-19T08:05:47Z</dcterms:created>
  <dcterms:modified xsi:type="dcterms:W3CDTF">2025-02-26T10:49:00Z</dcterms:modified>
</cp:coreProperties>
</file>