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b42a0939aee27bb1/Desktop/Amir/Q3FY25 SS/"/>
    </mc:Choice>
  </mc:AlternateContent>
  <xr:revisionPtr revIDLastSave="0" documentId="8_{75CC934F-E9D9-40F9-A68D-CA7B0E33A526}" xr6:coauthVersionLast="47" xr6:coauthVersionMax="47" xr10:uidLastSave="{00000000-0000-0000-0000-000000000000}"/>
  <bookViews>
    <workbookView xWindow="-110" yWindow="-110" windowWidth="19420" windowHeight="10420" tabRatio="884" firstSheet="1" activeTab="1" xr2:uid="{00000000-000D-0000-FFFF-FFFF00000000}"/>
  </bookViews>
  <sheets>
    <sheet name="Peer Analysis" sheetId="10" state="hidden" r:id="rId1"/>
    <sheet name="Consol" sheetId="1" r:id="rId2"/>
  </sheets>
  <externalReferences>
    <externalReference r:id="rId3"/>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0" i="1" l="1"/>
  <c r="W67" i="1"/>
  <c r="R63" i="1"/>
  <c r="Q63" i="1"/>
  <c r="P63" i="1"/>
  <c r="O63" i="1"/>
  <c r="S63" i="1"/>
  <c r="K30" i="1"/>
  <c r="K4" i="1"/>
  <c r="W40" i="1" l="1"/>
  <c r="W28" i="1"/>
  <c r="W10" i="1"/>
  <c r="K61" i="1" s="1"/>
  <c r="K62" i="1"/>
  <c r="K54" i="1"/>
  <c r="K53" i="1"/>
  <c r="Y23" i="1"/>
  <c r="K49" i="1"/>
  <c r="K58" i="1"/>
  <c r="K60" i="1" s="1"/>
  <c r="V10" i="1"/>
  <c r="J61" i="1" s="1"/>
  <c r="J53" i="1"/>
  <c r="J55" i="1" s="1"/>
  <c r="W60" i="1"/>
  <c r="W46" i="1"/>
  <c r="W52" i="1" s="1"/>
  <c r="W62" i="1" s="1"/>
  <c r="W6" i="1"/>
  <c r="W12" i="1" s="1"/>
  <c r="K13" i="1"/>
  <c r="K21" i="1" s="1"/>
  <c r="K23" i="1" s="1"/>
  <c r="K28" i="1"/>
  <c r="V78" i="1"/>
  <c r="U78" i="1"/>
  <c r="V80" i="1"/>
  <c r="V79" i="1"/>
  <c r="V73" i="1"/>
  <c r="V67" i="1"/>
  <c r="V70" i="1" s="1"/>
  <c r="V46" i="1"/>
  <c r="V52" i="1" s="1"/>
  <c r="V6" i="1"/>
  <c r="J62" i="1"/>
  <c r="J58" i="1"/>
  <c r="J60" i="1" s="1"/>
  <c r="J49" i="1"/>
  <c r="H41" i="1"/>
  <c r="I41" i="1"/>
  <c r="J42" i="1"/>
  <c r="J41" i="1"/>
  <c r="J6" i="1"/>
  <c r="J5" i="1"/>
  <c r="Z53" i="1"/>
  <c r="V68" i="1" l="1"/>
  <c r="V71" i="1" s="1"/>
  <c r="K55" i="1"/>
  <c r="W53" i="1"/>
  <c r="K14" i="1"/>
  <c r="K63" i="1"/>
  <c r="K25" i="1"/>
  <c r="W63" i="1"/>
  <c r="W13" i="1"/>
  <c r="V81" i="1"/>
  <c r="V82" i="1" s="1"/>
  <c r="G62" i="1"/>
  <c r="H62" i="1"/>
  <c r="I62" i="1"/>
  <c r="F62" i="1"/>
  <c r="K29" i="1" l="1"/>
  <c r="K35" i="1" s="1"/>
  <c r="X57" i="1"/>
  <c r="F54" i="1"/>
  <c r="G54" i="1"/>
  <c r="H54" i="1"/>
  <c r="U9" i="1"/>
  <c r="U84" i="1"/>
  <c r="R79" i="1"/>
  <c r="S79" i="1"/>
  <c r="T79" i="1"/>
  <c r="R80" i="1"/>
  <c r="S80" i="1"/>
  <c r="T80" i="1"/>
  <c r="U79" i="1"/>
  <c r="U80" i="1" l="1"/>
  <c r="U73" i="1" l="1"/>
  <c r="J63" i="1" l="1"/>
  <c r="V76" i="1"/>
  <c r="V77" i="1"/>
  <c r="V60" i="1"/>
  <c r="V12" i="1" s="1"/>
  <c r="V40" i="1"/>
  <c r="V53" i="1" s="1"/>
  <c r="V28" i="1"/>
  <c r="F58" i="1"/>
  <c r="G58" i="1"/>
  <c r="H58" i="1"/>
  <c r="I58" i="1"/>
  <c r="V63" i="1" l="1"/>
  <c r="X15" i="1" s="1"/>
  <c r="V62" i="1"/>
  <c r="V13" i="1" s="1"/>
  <c r="G49" i="1"/>
  <c r="I49" i="1"/>
  <c r="I50" i="1" s="1"/>
  <c r="J45" i="1" l="1"/>
  <c r="J50" i="1" s="1"/>
  <c r="R60" i="1"/>
  <c r="R52" i="1"/>
  <c r="R40" i="1"/>
  <c r="S60" i="1"/>
  <c r="S52" i="1"/>
  <c r="K45" i="1" l="1"/>
  <c r="K50" i="1" s="1"/>
  <c r="S40" i="1"/>
  <c r="T40" i="1"/>
  <c r="T60" i="1"/>
  <c r="T52" i="1"/>
  <c r="U60" i="1"/>
  <c r="U52" i="1"/>
  <c r="U40" i="1"/>
  <c r="J28" i="1" l="1"/>
  <c r="I28" i="1"/>
  <c r="J13" i="1"/>
  <c r="J14" i="1" l="1"/>
  <c r="V72" i="1"/>
  <c r="J21" i="1"/>
  <c r="V84" i="1" s="1"/>
  <c r="J23" i="1" l="1"/>
  <c r="V75" i="1"/>
  <c r="J25" i="1"/>
  <c r="J29" i="1" l="1"/>
  <c r="U70" i="1"/>
  <c r="I53" i="1"/>
  <c r="I55" i="1" s="1"/>
  <c r="I42" i="1"/>
  <c r="I6" i="1"/>
  <c r="I5" i="1"/>
  <c r="C54" i="1"/>
  <c r="D54" i="1"/>
  <c r="E54" i="1"/>
  <c r="H6" i="1"/>
  <c r="G6" i="1"/>
  <c r="F5" i="1"/>
  <c r="F6" i="1"/>
  <c r="T78" i="1"/>
  <c r="T73" i="1"/>
  <c r="S73" i="1"/>
  <c r="R73" i="1"/>
  <c r="F42" i="1"/>
  <c r="F41" i="1"/>
  <c r="R28" i="1"/>
  <c r="F49" i="1"/>
  <c r="U28" i="1"/>
  <c r="U63" i="1" s="1"/>
  <c r="U75" i="1" s="1"/>
  <c r="U10" i="1"/>
  <c r="U6" i="1"/>
  <c r="I60" i="1"/>
  <c r="I13" i="1"/>
  <c r="H5" i="1"/>
  <c r="P60" i="1"/>
  <c r="Q60" i="1"/>
  <c r="O60" i="1"/>
  <c r="P52" i="1"/>
  <c r="Q52" i="1"/>
  <c r="O52" i="1"/>
  <c r="O8" i="1"/>
  <c r="H42" i="1"/>
  <c r="C12" i="1"/>
  <c r="C13" i="1" s="1"/>
  <c r="D12" i="1"/>
  <c r="P81" i="1" s="1"/>
  <c r="Q21" i="1"/>
  <c r="Q73" i="1" s="1"/>
  <c r="E19" i="1"/>
  <c r="Q9" i="1"/>
  <c r="Q8" i="1"/>
  <c r="E49" i="1"/>
  <c r="E50" i="1" s="1"/>
  <c r="T28" i="1"/>
  <c r="T63" i="1" s="1"/>
  <c r="G60" i="1"/>
  <c r="H60" i="1"/>
  <c r="H49" i="1"/>
  <c r="D5" i="1"/>
  <c r="E5" i="1"/>
  <c r="G5" i="1"/>
  <c r="E13" i="1"/>
  <c r="E14" i="1" s="1"/>
  <c r="F13" i="1"/>
  <c r="G13" i="1"/>
  <c r="G14" i="1" s="1"/>
  <c r="H13" i="1"/>
  <c r="C28" i="1"/>
  <c r="D28" i="1"/>
  <c r="E28" i="1"/>
  <c r="F28" i="1"/>
  <c r="G28" i="1"/>
  <c r="H28" i="1"/>
  <c r="D41" i="1"/>
  <c r="E41" i="1"/>
  <c r="G41" i="1"/>
  <c r="G42" i="1"/>
  <c r="C49" i="1"/>
  <c r="C50" i="1" s="1"/>
  <c r="D49" i="1"/>
  <c r="D50" i="1" s="1"/>
  <c r="C53" i="1"/>
  <c r="D53" i="1"/>
  <c r="E53" i="1"/>
  <c r="F53" i="1"/>
  <c r="G53" i="1"/>
  <c r="H53" i="1"/>
  <c r="C60" i="1"/>
  <c r="D60" i="1"/>
  <c r="E60" i="1"/>
  <c r="F60" i="1"/>
  <c r="C62" i="1"/>
  <c r="D62" i="1"/>
  <c r="E62" i="1"/>
  <c r="T10" i="1"/>
  <c r="T6" i="1"/>
  <c r="C6" i="10"/>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C19" i="10" s="1"/>
  <c r="D21" i="10"/>
  <c r="D19" i="10" s="1"/>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S78" i="1"/>
  <c r="P73" i="1"/>
  <c r="O73" i="1"/>
  <c r="Q81" i="1"/>
  <c r="R81" i="1"/>
  <c r="R82" i="1" s="1"/>
  <c r="O78" i="1"/>
  <c r="R78" i="1"/>
  <c r="O79" i="1"/>
  <c r="P79" i="1"/>
  <c r="Q79" i="1"/>
  <c r="R70" i="1"/>
  <c r="Q67" i="1"/>
  <c r="Q70" i="1" s="1"/>
  <c r="P67" i="1"/>
  <c r="P70" i="1" s="1"/>
  <c r="O67" i="1"/>
  <c r="O70" i="1" s="1"/>
  <c r="S70" i="1"/>
  <c r="P78" i="1"/>
  <c r="Q78" i="1"/>
  <c r="O10" i="1"/>
  <c r="C61" i="1" s="1"/>
  <c r="P10" i="1"/>
  <c r="P40" i="1"/>
  <c r="O40" i="1"/>
  <c r="P28" i="1"/>
  <c r="O28" i="1"/>
  <c r="P6" i="1"/>
  <c r="P68" i="1" s="1"/>
  <c r="P71" i="1" s="1"/>
  <c r="O6" i="1"/>
  <c r="S28" i="1"/>
  <c r="S10" i="1"/>
  <c r="S6" i="1"/>
  <c r="Q40" i="1"/>
  <c r="Q28" i="1"/>
  <c r="R10" i="1"/>
  <c r="R6" i="1"/>
  <c r="R12" i="1" s="1"/>
  <c r="Q6" i="1"/>
  <c r="Q68" i="1" s="1"/>
  <c r="Q71" i="1" s="1"/>
  <c r="D13" i="10" l="1"/>
  <c r="E19" i="10"/>
  <c r="J35" i="1"/>
  <c r="J30" i="1"/>
  <c r="V74" i="1"/>
  <c r="T77" i="1"/>
  <c r="F61" i="1"/>
  <c r="F63" i="1" s="1"/>
  <c r="R72" i="1" s="1"/>
  <c r="R77" i="1"/>
  <c r="S77" i="1"/>
  <c r="I61" i="1"/>
  <c r="I63" i="1" s="1"/>
  <c r="U72" i="1" s="1"/>
  <c r="U77" i="1"/>
  <c r="S62" i="1"/>
  <c r="S13" i="1" s="1"/>
  <c r="S12" i="1"/>
  <c r="B10" i="10"/>
  <c r="C10" i="10"/>
  <c r="F19" i="10"/>
  <c r="B19" i="10"/>
  <c r="B13" i="10"/>
  <c r="D10" i="10"/>
  <c r="F10" i="10"/>
  <c r="T62" i="1"/>
  <c r="T13" i="1" s="1"/>
  <c r="T12" i="1"/>
  <c r="U62" i="1"/>
  <c r="U13" i="1" s="1"/>
  <c r="U12" i="1"/>
  <c r="E10" i="10"/>
  <c r="D55" i="1"/>
  <c r="R68" i="1"/>
  <c r="R71" i="1" s="1"/>
  <c r="R62" i="1"/>
  <c r="R13" i="1" s="1"/>
  <c r="P53" i="1"/>
  <c r="T81" i="1"/>
  <c r="T82" i="1" s="1"/>
  <c r="U81" i="1"/>
  <c r="U82" i="1" s="1"/>
  <c r="U68" i="1"/>
  <c r="U71" i="1" s="1"/>
  <c r="H55" i="1"/>
  <c r="E55" i="1"/>
  <c r="F15" i="1"/>
  <c r="H16" i="1"/>
  <c r="G21" i="1"/>
  <c r="S75" i="1" s="1"/>
  <c r="Q53" i="1"/>
  <c r="O81" i="1"/>
  <c r="E21" i="1"/>
  <c r="O76" i="1"/>
  <c r="G61" i="1"/>
  <c r="G63" i="1" s="1"/>
  <c r="S72" i="1" s="1"/>
  <c r="G15" i="1"/>
  <c r="D13" i="1"/>
  <c r="G16" i="1" s="1"/>
  <c r="O62" i="1"/>
  <c r="O13" i="1" s="1"/>
  <c r="O53" i="1"/>
  <c r="D61" i="1"/>
  <c r="D63" i="1" s="1"/>
  <c r="P72" i="1" s="1"/>
  <c r="T53" i="1"/>
  <c r="G50" i="1"/>
  <c r="H50" i="1" s="1"/>
  <c r="R53" i="1"/>
  <c r="C14" i="1"/>
  <c r="C21" i="1"/>
  <c r="C25" i="1" s="1"/>
  <c r="C29" i="1" s="1"/>
  <c r="C30" i="1" s="1"/>
  <c r="S81" i="1"/>
  <c r="S82" i="1" s="1"/>
  <c r="F14" i="1"/>
  <c r="C63" i="1"/>
  <c r="O72" i="1" s="1"/>
  <c r="Q10" i="1"/>
  <c r="S53" i="1"/>
  <c r="O12" i="1"/>
  <c r="F16" i="1"/>
  <c r="O68" i="1"/>
  <c r="O71" i="1" s="1"/>
  <c r="T76" i="1"/>
  <c r="H15" i="1"/>
  <c r="R76" i="1"/>
  <c r="Q12" i="1"/>
  <c r="S68" i="1"/>
  <c r="S71" i="1" s="1"/>
  <c r="P77" i="1"/>
  <c r="P12" i="1"/>
  <c r="H61" i="1"/>
  <c r="H63" i="1" s="1"/>
  <c r="T72" i="1" s="1"/>
  <c r="H21" i="1"/>
  <c r="F13" i="10"/>
  <c r="H14" i="1"/>
  <c r="F21" i="1"/>
  <c r="P76" i="1"/>
  <c r="S76" i="1"/>
  <c r="P62" i="1"/>
  <c r="E13" i="10"/>
  <c r="U76" i="1"/>
  <c r="O77" i="1"/>
  <c r="T68" i="1"/>
  <c r="T71" i="1" s="1"/>
  <c r="I16" i="1"/>
  <c r="I15" i="1"/>
  <c r="G55" i="1"/>
  <c r="F55" i="1"/>
  <c r="C55" i="1"/>
  <c r="I14" i="1"/>
  <c r="J37" i="1" l="1"/>
  <c r="C23" i="1"/>
  <c r="R75" i="1"/>
  <c r="T83" i="1"/>
  <c r="T84" i="1"/>
  <c r="T75" i="1"/>
  <c r="S83" i="1"/>
  <c r="G25" i="1"/>
  <c r="S84" i="1"/>
  <c r="F23" i="1"/>
  <c r="R84" i="1"/>
  <c r="R83" i="1"/>
  <c r="O75" i="1"/>
  <c r="U53" i="1"/>
  <c r="C35" i="1"/>
  <c r="I25" i="1"/>
  <c r="Q75" i="1"/>
  <c r="O74" i="1"/>
  <c r="G23" i="1"/>
  <c r="E25" i="1"/>
  <c r="E29" i="1" s="1"/>
  <c r="E23" i="1"/>
  <c r="Q76" i="1"/>
  <c r="Q77" i="1"/>
  <c r="D21" i="1"/>
  <c r="D14" i="1"/>
  <c r="E15" i="1" s="1"/>
  <c r="I23" i="1"/>
  <c r="E61" i="1"/>
  <c r="E63" i="1" s="1"/>
  <c r="Q72" i="1" s="1"/>
  <c r="Q62" i="1"/>
  <c r="H23" i="1"/>
  <c r="H25" i="1"/>
  <c r="F25" i="1"/>
  <c r="P13" i="1"/>
  <c r="U83" i="1" l="1"/>
  <c r="V83" i="1"/>
  <c r="I29" i="1"/>
  <c r="U74" i="1" s="1"/>
  <c r="J31" i="1"/>
  <c r="G29" i="1"/>
  <c r="J32" i="1"/>
  <c r="I32" i="1"/>
  <c r="E35" i="1"/>
  <c r="E30" i="1"/>
  <c r="Q74" i="1"/>
  <c r="I30" i="1"/>
  <c r="D15" i="1"/>
  <c r="D25" i="1"/>
  <c r="P75" i="1"/>
  <c r="D23" i="1"/>
  <c r="Q13" i="1"/>
  <c r="H31" i="1"/>
  <c r="H29" i="1"/>
  <c r="H32" i="1"/>
  <c r="G31" i="1"/>
  <c r="F29" i="1"/>
  <c r="F31" i="1"/>
  <c r="F32" i="1"/>
  <c r="I31" i="1"/>
  <c r="I35" i="1" l="1"/>
  <c r="J36" i="1" s="1"/>
  <c r="S74" i="1"/>
  <c r="G30" i="1"/>
  <c r="D29" i="1"/>
  <c r="G32" i="1"/>
  <c r="F30" i="1"/>
  <c r="F35" i="1"/>
  <c r="R74" i="1"/>
  <c r="H35" i="1"/>
  <c r="H30" i="1"/>
  <c r="T74" i="1"/>
  <c r="P74" i="1" l="1"/>
  <c r="D30" i="1"/>
  <c r="D35" i="1"/>
  <c r="H37" i="1"/>
  <c r="H36" i="1"/>
  <c r="I36" i="1"/>
  <c r="F36" i="1"/>
  <c r="F37" i="1"/>
  <c r="G36" i="1"/>
  <c r="I37" i="1"/>
  <c r="D36" i="1" l="1"/>
  <c r="G37" i="1"/>
  <c r="E36" i="1"/>
  <c r="D31"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7"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<sst xmlns="http://schemas.openxmlformats.org/spreadsheetml/2006/main" count="268" uniqueCount="167">
  <si>
    <t>March Year Ended (INR Mn)</t>
  </si>
  <si>
    <t>FY19</t>
  </si>
  <si>
    <t>FY20</t>
  </si>
  <si>
    <t>Share Capital</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</si>
  <si>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</si>
  <si>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</si>
  <si>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</si>
  <si>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</si>
  <si>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</si>
  <si>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</si>
  <si>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</si>
  <si>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</si>
  <si>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</si>
  <si>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</si>
  <si>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</si>
  <si>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</si>
  <si>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</si>
  <si>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</si>
  <si>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</si>
  <si>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</si>
  <si>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</si>
  <si>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</si>
  <si>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</si>
  <si>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</si>
  <si>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</si>
  <si>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</si>
  <si>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</si>
  <si>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</si>
  <si>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</si>
  <si>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</si>
  <si>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</si>
  <si>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</si>
  <si>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</si>
  <si>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</si>
  <si>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</si>
  <si>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</si>
  <si>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</si>
  <si>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</si>
  <si>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</si>
  <si>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</si>
  <si>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</si>
  <si>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</si>
  <si>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</si>
  <si>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</si>
  <si>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</si>
  <si>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</si>
  <si>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</si>
  <si>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</si>
  <si>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</si>
  <si>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</si>
  <si>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</si>
  <si>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</si>
  <si>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</si>
  <si>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</si>
  <si>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</si>
  <si>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</si>
  <si>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</si>
  <si>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</si>
  <si>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</si>
  <si>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</si>
  <si>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</si>
  <si>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</si>
  <si>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</si>
  <si>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</si>
  <si>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</si>
  <si>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</si>
  <si>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</si>
  <si>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</si>
  <si>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</si>
  <si>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</si>
  <si>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</si>
  <si>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</si>
  <si>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</si>
  <si>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</si>
  <si>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</si>
  <si>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</si>
  <si>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</si>
  <si>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</si>
  <si>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</si>
  <si>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</si>
  <si>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</si>
  <si>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</si>
  <si>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</si>
  <si>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</si>
  <si>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Working Capital Days</t>
  </si>
  <si>
    <t>Fixed Asset Tunover</t>
  </si>
  <si>
    <t>PAT from Continuing Operations</t>
  </si>
  <si>
    <t>PBT from Discontinuing Operations</t>
  </si>
  <si>
    <t>PAT from Discontinuing Operations</t>
  </si>
  <si>
    <t>Net Profit for the Year</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</si>
  <si>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</si>
  <si>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</si>
  <si>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</si>
  <si>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</si>
  <si>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</si>
  <si>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</si>
  <si>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</si>
  <si>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</si>
  <si>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</si>
  <si>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</si>
  <si>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</si>
  <si>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</si>
  <si>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</si>
  <si>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</si>
  <si>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</si>
  <si>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</si>
  <si>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</si>
  <si>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</si>
  <si>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</si>
  <si>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</si>
  <si>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</si>
  <si>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</si>
  <si>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</si>
  <si>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</si>
  <si>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</si>
  <si>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</si>
  <si>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</si>
  <si>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</si>
  <si>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</si>
  <si>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</si>
  <si>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</si>
  <si>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</si>
  <si>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</si>
  <si>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</si>
  <si>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</si>
  <si>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</si>
  <si>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</si>
  <si>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</si>
  <si>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</si>
  <si>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</si>
  <si>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</si>
  <si>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</si>
  <si>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</si>
  <si>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</si>
  <si>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</si>
  <si>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</si>
  <si>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</si>
  <si>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</si>
  <si>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</si>
  <si>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</si>
  <si>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</si>
  <si>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</si>
  <si>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</si>
  <si>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</si>
  <si>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</si>
  <si>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</si>
  <si>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</si>
  <si>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</si>
  <si>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Cash &amp; cash equivalent and other bank balance</t>
  </si>
  <si>
    <t>FY23</t>
  </si>
  <si>
    <t>-</t>
  </si>
  <si>
    <t>NA</t>
  </si>
  <si>
    <t>The Hi-tech Gears Ltd.</t>
  </si>
  <si>
    <t xml:space="preserve">   Loans</t>
  </si>
  <si>
    <t xml:space="preserve">    Loans</t>
  </si>
  <si>
    <t xml:space="preserve"> Current Tax Assets (net)</t>
  </si>
  <si>
    <t>Other current assets</t>
  </si>
  <si>
    <t xml:space="preserve">  Borrowings</t>
  </si>
  <si>
    <t>Financial Liabilities</t>
  </si>
  <si>
    <t>Borrowings</t>
  </si>
  <si>
    <t>Cash Conversion cycle</t>
  </si>
  <si>
    <t>Interest Coverage</t>
  </si>
  <si>
    <t>FY24</t>
  </si>
  <si>
    <t>Other equity</t>
  </si>
  <si>
    <t>TTM</t>
  </si>
  <si>
    <t>H1-FY25</t>
  </si>
  <si>
    <t>9M-FY25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</si>
</sst>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 numFmtId="170" formatCode="_ * #,##0.000_ ;_ * \-#,##0.000_ ;_ * &quot;-&quot;??_ ;_ @_ "/>
  </numFmts>
  <fonts count="18">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rgb="FFFF0000"/>
      <name val="Calibri"/>
      <family val="2"/>
      <scheme val="minor"/>
    </font>
    <font>
      <sz val="10"/>
      <color rgb="FF000000"/>
      <name val="MyFirstFont"/>
    </font>
    <font>
      <sz val="8"/>
      <name val="Calibri"/>
      <family val="2"/>
      <scheme val="minor"/>
    </font>
    <font>
      <sz val="12"/>
      <color theme="1"/>
      <name val="Calibri"/>
      <family val="2"/>
      <scheme val="minor"/>
    </font>
  </fonts>
  <fills count="11">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2">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6" borderId="0" xfId="0" applyFill="1" applyAlignment="1">
      <alignment vertical="top"/>
    </xf>
    <xf numFmtId="0" fontId="5" fillId="6" borderId="0" xfId="0" applyFont="1" applyFill="1" applyAlignment="1">
      <alignment vertical="top"/>
    </xf>
    <xf numFmtId="165" fontId="0" fillId="6" borderId="1" xfId="2" applyNumberFormat="1" applyFont="1" applyFill="1" applyBorder="1" applyAlignment="1">
      <alignment vertical="top"/>
    </xf>
    <xf numFmtId="0" fontId="0" fillId="6"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5" borderId="1" xfId="0" applyNumberFormat="1" applyFill="1" applyBorder="1" applyAlignment="1">
      <alignment vertical="top"/>
    </xf>
    <xf numFmtId="0" fontId="2" fillId="6" borderId="1" xfId="0" applyFont="1" applyFill="1" applyBorder="1" applyAlignment="1">
      <alignment vertical="top"/>
    </xf>
    <xf numFmtId="0" fontId="2" fillId="0" borderId="1" xfId="0" applyFont="1" applyBorder="1" applyAlignment="1">
      <alignment vertical="top"/>
    </xf>
    <xf numFmtId="0" fontId="5" fillId="6" borderId="1" xfId="0" applyFont="1" applyFill="1" applyBorder="1" applyAlignment="1">
      <alignment vertical="top"/>
    </xf>
    <xf numFmtId="165" fontId="0" fillId="6" borderId="1" xfId="0" applyNumberFormat="1" applyFill="1" applyBorder="1" applyAlignment="1">
      <alignment vertical="top"/>
    </xf>
    <xf numFmtId="165" fontId="0" fillId="0" borderId="1" xfId="0" applyNumberFormat="1" applyBorder="1" applyAlignment="1">
      <alignment vertical="top"/>
    </xf>
    <xf numFmtId="0" fontId="2" fillId="6" borderId="0" xfId="0" applyFont="1" applyFill="1" applyAlignment="1">
      <alignment vertical="top"/>
    </xf>
    <xf numFmtId="43" fontId="2" fillId="6"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5" borderId="1" xfId="0" applyFill="1" applyBorder="1" applyAlignment="1">
      <alignment vertical="top"/>
    </xf>
    <xf numFmtId="164" fontId="0" fillId="0" borderId="1" xfId="5" applyFont="1" applyFill="1" applyBorder="1" applyAlignment="1">
      <alignment vertical="top"/>
    </xf>
    <xf numFmtId="0" fontId="0" fillId="6" borderId="1" xfId="0" applyFill="1" applyBorder="1" applyAlignment="1">
      <alignment horizontal="right" vertical="top"/>
    </xf>
    <xf numFmtId="164" fontId="2" fillId="0" borderId="1" xfId="0" applyNumberFormat="1" applyFont="1" applyBorder="1" applyAlignment="1">
      <alignment vertical="top"/>
    </xf>
    <xf numFmtId="10" fontId="2" fillId="6"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6"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6" borderId="1" xfId="0" applyNumberFormat="1" applyFont="1" applyFill="1" applyBorder="1" applyAlignment="1">
      <alignment vertical="top"/>
    </xf>
    <xf numFmtId="164" fontId="2" fillId="6"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6"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6" borderId="1" xfId="0" applyFont="1" applyFill="1" applyBorder="1" applyAlignment="1">
      <alignment horizontal="center" vertical="top"/>
    </xf>
    <xf numFmtId="0" fontId="12" fillId="6"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7" borderId="1" xfId="0" applyFont="1" applyFill="1" applyBorder="1" applyAlignment="1">
      <alignment horizontal="center" vertical="center"/>
    </xf>
    <xf numFmtId="0" fontId="8" fillId="9" borderId="0" xfId="0" applyFont="1" applyFill="1" applyAlignment="1">
      <alignment horizontal="center" vertical="top"/>
    </xf>
    <xf numFmtId="0" fontId="2" fillId="8" borderId="1" xfId="0" applyFont="1" applyFill="1" applyBorder="1" applyAlignment="1">
      <alignment horizontal="center" vertical="top" wrapText="1"/>
    </xf>
    <xf numFmtId="0" fontId="0" fillId="10" borderId="0" xfId="0" applyFill="1"/>
    <xf numFmtId="0" fontId="0" fillId="10" borderId="0" xfId="0" applyFill="1" applyAlignment="1">
      <alignment horizontal="center"/>
    </xf>
    <xf numFmtId="165" fontId="6" fillId="10" borderId="0" xfId="2" applyNumberFormat="1" applyFont="1" applyFill="1" applyBorder="1"/>
    <xf numFmtId="43" fontId="0" fillId="10" borderId="0" xfId="1" applyFont="1" applyFill="1"/>
    <xf numFmtId="43" fontId="1" fillId="10" borderId="0" xfId="1" applyFont="1" applyFill="1" applyBorder="1"/>
    <xf numFmtId="43" fontId="0" fillId="10" borderId="0" xfId="1" applyFont="1" applyFill="1" applyBorder="1" applyAlignment="1">
      <alignment horizontal="center"/>
    </xf>
    <xf numFmtId="43" fontId="2" fillId="10" borderId="0" xfId="1" applyFont="1" applyFill="1"/>
    <xf numFmtId="10" fontId="6" fillId="10" borderId="0" xfId="2" applyNumberFormat="1" applyFont="1" applyFill="1"/>
    <xf numFmtId="43" fontId="2" fillId="10" borderId="0" xfId="1" applyFont="1" applyFill="1" applyBorder="1"/>
    <xf numFmtId="43" fontId="0" fillId="10" borderId="0" xfId="1" applyFont="1" applyFill="1" applyBorder="1"/>
    <xf numFmtId="165" fontId="6" fillId="10" borderId="0" xfId="2" applyNumberFormat="1" applyFont="1" applyFill="1"/>
    <xf numFmtId="43" fontId="2" fillId="10" borderId="0" xfId="1" applyFont="1" applyFill="1" applyBorder="1" applyAlignment="1">
      <alignment horizontal="center"/>
    </xf>
    <xf numFmtId="0" fontId="0" fillId="6" borderId="0" xfId="0" applyFill="1"/>
    <xf numFmtId="0" fontId="10" fillId="6" borderId="0" xfId="0" applyFont="1" applyFill="1"/>
    <xf numFmtId="43" fontId="0" fillId="6" borderId="0" xfId="0" applyNumberFormat="1" applyFill="1"/>
    <xf numFmtId="43" fontId="0" fillId="6" borderId="0" xfId="1" applyFont="1" applyFill="1"/>
    <xf numFmtId="0" fontId="0" fillId="0" borderId="1" xfId="0" applyBorder="1"/>
    <xf numFmtId="43" fontId="0" fillId="0" borderId="1" xfId="1" applyFont="1" applyBorder="1"/>
    <xf numFmtId="166" fontId="0" fillId="0" borderId="1" xfId="1" applyNumberFormat="1" applyFont="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0" applyNumberFormat="1" applyBorder="1"/>
    <xf numFmtId="0" fontId="6" fillId="4" borderId="1" xfId="0" applyFont="1" applyFill="1" applyBorder="1"/>
    <xf numFmtId="165" fontId="6" fillId="4" borderId="1" xfId="2" applyNumberFormat="1" applyFont="1" applyFill="1" applyBorder="1"/>
    <xf numFmtId="43" fontId="1" fillId="0" borderId="1" xfId="1" applyFont="1" applyBorder="1"/>
    <xf numFmtId="166" fontId="1" fillId="0" borderId="1" xfId="1" applyNumberFormat="1" applyFont="1" applyBorder="1"/>
    <xf numFmtId="0" fontId="2" fillId="4" borderId="1" xfId="0" applyFont="1" applyFill="1" applyBorder="1"/>
    <xf numFmtId="43" fontId="2" fillId="4" borderId="1" xfId="1" applyFont="1" applyFill="1" applyBorder="1"/>
    <xf numFmtId="43" fontId="2" fillId="4"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0" fontId="9" fillId="4" borderId="1" xfId="0" applyFont="1" applyFill="1" applyBorder="1"/>
    <xf numFmtId="166" fontId="9" fillId="4" borderId="1" xfId="1" applyNumberFormat="1" applyFont="1" applyFill="1" applyBorder="1"/>
    <xf numFmtId="0" fontId="0" fillId="4" borderId="1" xfId="0" applyFill="1" applyBorder="1"/>
    <xf numFmtId="166" fontId="0" fillId="4" borderId="1" xfId="1" applyNumberFormat="1" applyFont="1" applyFill="1" applyBorder="1"/>
    <xf numFmtId="43" fontId="0" fillId="4" borderId="1" xfId="1" applyFont="1" applyFill="1" applyBorder="1"/>
    <xf numFmtId="0" fontId="0" fillId="6" borderId="1" xfId="0" applyFill="1" applyBorder="1"/>
    <xf numFmtId="0" fontId="0" fillId="0" borderId="7" xfId="0" applyBorder="1" applyAlignment="1">
      <alignment horizontal="left" indent="1"/>
    </xf>
    <xf numFmtId="0" fontId="0" fillId="0" borderId="8" xfId="0" applyBorder="1" applyAlignment="1">
      <alignment horizontal="left" indent="1"/>
    </xf>
    <xf numFmtId="0" fontId="2" fillId="6" borderId="1" xfId="0" applyFont="1" applyFill="1" applyBorder="1"/>
    <xf numFmtId="43" fontId="2" fillId="6" borderId="1" xfId="1" applyFont="1" applyFill="1" applyBorder="1"/>
    <xf numFmtId="166" fontId="2" fillId="6" borderId="1" xfId="1" applyNumberFormat="1" applyFont="1" applyFill="1" applyBorder="1"/>
    <xf numFmtId="164" fontId="0" fillId="6" borderId="1" xfId="0" applyNumberFormat="1" applyFill="1" applyBorder="1"/>
    <xf numFmtId="166" fontId="14" fillId="4" borderId="1" xfId="1" applyNumberFormat="1" applyFont="1" applyFill="1" applyBorder="1"/>
    <xf numFmtId="43" fontId="14" fillId="3" borderId="1" xfId="1" applyFont="1" applyFill="1" applyBorder="1"/>
    <xf numFmtId="166" fontId="0" fillId="6" borderId="0" xfId="0" applyNumberFormat="1" applyFill="1"/>
    <xf numFmtId="166" fontId="2" fillId="3" borderId="1" xfId="1" applyNumberFormat="1" applyFont="1" applyFill="1" applyBorder="1"/>
    <xf numFmtId="166" fontId="2" fillId="3" borderId="6" xfId="1" applyNumberFormat="1" applyFont="1" applyFill="1" applyBorder="1"/>
    <xf numFmtId="166" fontId="0" fillId="6" borderId="1" xfId="1" applyNumberFormat="1" applyFont="1" applyFill="1" applyBorder="1"/>
    <xf numFmtId="166" fontId="0" fillId="6" borderId="6" xfId="1" applyNumberFormat="1" applyFont="1" applyFill="1" applyBorder="1"/>
    <xf numFmtId="166" fontId="1" fillId="6" borderId="1" xfId="1" applyNumberFormat="1" applyFont="1" applyFill="1" applyBorder="1"/>
    <xf numFmtId="166" fontId="0" fillId="6" borderId="1" xfId="1" applyNumberFormat="1" applyFont="1" applyFill="1" applyBorder="1" applyAlignment="1">
      <alignment horizontal="center"/>
    </xf>
    <xf numFmtId="166" fontId="1" fillId="6" borderId="6" xfId="1" applyNumberFormat="1" applyFont="1" applyFill="1" applyBorder="1"/>
    <xf numFmtId="43" fontId="0" fillId="6" borderId="1" xfId="1" applyFont="1" applyFill="1" applyBorder="1"/>
    <xf numFmtId="43" fontId="0" fillId="6" borderId="1" xfId="1" applyFont="1" applyFill="1" applyBorder="1" applyAlignment="1">
      <alignment horizontal="right"/>
    </xf>
    <xf numFmtId="43" fontId="0" fillId="6" borderId="6" xfId="1" applyFont="1" applyFill="1" applyBorder="1"/>
    <xf numFmtId="3" fontId="0" fillId="6" borderId="1" xfId="0" applyNumberFormat="1" applyFill="1" applyBorder="1"/>
    <xf numFmtId="166" fontId="0" fillId="6" borderId="7" xfId="1" applyNumberFormat="1" applyFont="1" applyFill="1" applyBorder="1"/>
    <xf numFmtId="166" fontId="0" fillId="6" borderId="8" xfId="1" applyNumberFormat="1" applyFont="1" applyFill="1" applyBorder="1"/>
    <xf numFmtId="166" fontId="0" fillId="6" borderId="1" xfId="0" applyNumberFormat="1" applyFill="1" applyBorder="1"/>
    <xf numFmtId="9" fontId="6" fillId="3" borderId="1" xfId="2" applyFont="1" applyFill="1" applyBorder="1"/>
    <xf numFmtId="9" fontId="6" fillId="3" borderId="1" xfId="2" applyFont="1" applyFill="1" applyBorder="1" applyAlignment="1">
      <alignment horizontal="right"/>
    </xf>
    <xf numFmtId="0" fontId="6" fillId="3" borderId="1" xfId="0" applyFont="1" applyFill="1" applyBorder="1"/>
    <xf numFmtId="165" fontId="6" fillId="3" borderId="1" xfId="2" applyNumberFormat="1" applyFont="1" applyFill="1" applyBorder="1"/>
    <xf numFmtId="43" fontId="6" fillId="3" borderId="1" xfId="1" applyFont="1" applyFill="1" applyBorder="1"/>
    <xf numFmtId="165" fontId="6" fillId="3" borderId="1" xfId="1" applyNumberFormat="1" applyFont="1" applyFill="1" applyBorder="1"/>
    <xf numFmtId="43" fontId="7" fillId="3" borderId="1" xfId="1" applyFont="1" applyFill="1" applyBorder="1"/>
    <xf numFmtId="165" fontId="7" fillId="3" borderId="1" xfId="1" applyNumberFormat="1" applyFont="1" applyFill="1" applyBorder="1"/>
    <xf numFmtId="10" fontId="6" fillId="3" borderId="1" xfId="2" applyNumberFormat="1" applyFont="1" applyFill="1" applyBorder="1"/>
    <xf numFmtId="166" fontId="9" fillId="6" borderId="1" xfId="1" applyNumberFormat="1" applyFont="1" applyFill="1" applyBorder="1"/>
    <xf numFmtId="0" fontId="2" fillId="3" borderId="1" xfId="0" applyFont="1" applyFill="1" applyBorder="1"/>
    <xf numFmtId="43" fontId="2" fillId="3" borderId="1" xfId="1" applyFont="1" applyFill="1" applyBorder="1"/>
    <xf numFmtId="0" fontId="2" fillId="3" borderId="1" xfId="0" applyFont="1" applyFill="1" applyBorder="1" applyAlignment="1">
      <alignment horizontal="left"/>
    </xf>
    <xf numFmtId="166" fontId="0" fillId="0" borderId="6" xfId="1" applyNumberFormat="1" applyFont="1" applyFill="1" applyBorder="1"/>
    <xf numFmtId="166" fontId="0" fillId="0" borderId="1" xfId="1" applyNumberFormat="1" applyFont="1" applyFill="1" applyBorder="1"/>
    <xf numFmtId="169" fontId="2" fillId="3" borderId="6" xfId="1" applyNumberFormat="1" applyFont="1" applyFill="1" applyBorder="1"/>
    <xf numFmtId="43" fontId="2" fillId="3" borderId="6" xfId="1" applyFont="1" applyFill="1" applyBorder="1"/>
    <xf numFmtId="43" fontId="9" fillId="6" borderId="6" xfId="1" applyFont="1" applyFill="1" applyBorder="1"/>
    <xf numFmtId="3" fontId="0" fillId="0" borderId="1" xfId="0" applyNumberFormat="1" applyBorder="1"/>
    <xf numFmtId="0" fontId="0" fillId="0" borderId="1" xfId="0" applyBorder="1" applyAlignment="1">
      <alignment horizontal="right"/>
    </xf>
    <xf numFmtId="166" fontId="0" fillId="0" borderId="1" xfId="1" applyNumberFormat="1" applyFont="1" applyFill="1" applyBorder="1" applyAlignment="1">
      <alignment horizontal="center"/>
    </xf>
    <xf numFmtId="166" fontId="1" fillId="0" borderId="1" xfId="1" applyNumberFormat="1" applyFont="1" applyFill="1" applyBorder="1"/>
    <xf numFmtId="43" fontId="0" fillId="0" borderId="1" xfId="1" applyFont="1" applyFill="1" applyBorder="1"/>
    <xf numFmtId="166" fontId="9" fillId="0" borderId="6" xfId="1" applyNumberFormat="1" applyFont="1" applyFill="1" applyBorder="1"/>
    <xf numFmtId="43" fontId="0" fillId="0" borderId="6" xfId="1" applyFont="1" applyFill="1" applyBorder="1"/>
    <xf numFmtId="166" fontId="1" fillId="0" borderId="0" xfId="1" applyNumberFormat="1" applyFont="1" applyFill="1" applyBorder="1"/>
    <xf numFmtId="166" fontId="5" fillId="0" borderId="1" xfId="1" applyNumberFormat="1" applyFont="1" applyFill="1" applyBorder="1"/>
    <xf numFmtId="0" fontId="2" fillId="6" borderId="1" xfId="0" applyFont="1" applyFill="1" applyBorder="1" applyAlignment="1">
      <alignment horizontal="center"/>
    </xf>
    <xf numFmtId="0" fontId="2" fillId="3" borderId="1" xfId="0" applyFont="1" applyFill="1" applyBorder="1" applyAlignment="1">
      <alignment horizontal="center"/>
    </xf>
    <xf numFmtId="43" fontId="0" fillId="0" borderId="6" xfId="1" applyFont="1" applyBorder="1"/>
    <xf numFmtId="43" fontId="0" fillId="0" borderId="10" xfId="1" applyFont="1" applyBorder="1"/>
    <xf numFmtId="43" fontId="0" fillId="0" borderId="5" xfId="1" applyFont="1" applyBorder="1"/>
    <xf numFmtId="0" fontId="15" fillId="6" borderId="1" xfId="0" applyFont="1" applyFill="1" applyBorder="1" applyAlignment="1">
      <alignment horizontal="right" vertical="center" wrapText="1" indent="1"/>
    </xf>
    <xf numFmtId="0" fontId="15" fillId="6" borderId="1" xfId="0" applyFont="1" applyFill="1" applyBorder="1"/>
    <xf numFmtId="0" fontId="15" fillId="0" borderId="1" xfId="0" applyFont="1" applyBorder="1"/>
    <xf numFmtId="43" fontId="0" fillId="6" borderId="1" xfId="1" applyFont="1" applyFill="1" applyBorder="1" applyAlignment="1">
      <alignment horizontal="center"/>
    </xf>
    <xf numFmtId="43" fontId="0" fillId="0" borderId="1" xfId="1" applyFont="1" applyFill="1" applyBorder="1" applyAlignment="1">
      <alignment horizontal="right"/>
    </xf>
    <xf numFmtId="43" fontId="0" fillId="0" borderId="1" xfId="0" applyNumberFormat="1" applyBorder="1"/>
    <xf numFmtId="43" fontId="5" fillId="0" borderId="1" xfId="0" applyNumberFormat="1" applyFont="1" applyBorder="1"/>
    <xf numFmtId="0" fontId="0" fillId="3" borderId="1" xfId="0" applyFill="1" applyBorder="1"/>
    <xf numFmtId="43" fontId="0" fillId="3" borderId="1" xfId="1" applyFont="1" applyFill="1" applyBorder="1"/>
    <xf numFmtId="43" fontId="0" fillId="3" borderId="1" xfId="1" applyFont="1" applyFill="1" applyBorder="1" applyAlignment="1">
      <alignment horizontal="center"/>
    </xf>
    <xf numFmtId="165" fontId="0" fillId="3" borderId="1" xfId="2" applyNumberFormat="1" applyFont="1" applyFill="1" applyBorder="1"/>
    <xf numFmtId="10" fontId="0" fillId="3" borderId="1" xfId="2" applyNumberFormat="1" applyFont="1" applyFill="1" applyBorder="1"/>
    <xf numFmtId="169" fontId="2" fillId="3" borderId="1" xfId="1" applyNumberFormat="1" applyFont="1" applyFill="1" applyBorder="1"/>
    <xf numFmtId="170" fontId="2" fillId="3" borderId="1" xfId="1" applyNumberFormat="1" applyFont="1" applyFill="1" applyBorder="1"/>
    <xf numFmtId="166" fontId="9" fillId="0" borderId="1" xfId="1" applyNumberFormat="1" applyFont="1" applyFill="1" applyBorder="1"/>
    <xf numFmtId="165" fontId="0" fillId="3" borderId="1" xfId="2" applyNumberFormat="1" applyFont="1" applyFill="1" applyBorder="1" applyAlignment="1">
      <alignment horizontal="right"/>
    </xf>
    <xf numFmtId="43" fontId="1" fillId="6" borderId="1" xfId="1" applyFont="1" applyFill="1" applyBorder="1" applyAlignment="1">
      <alignment horizontal="center"/>
    </xf>
    <xf numFmtId="0" fontId="8" fillId="9" borderId="2" xfId="0" applyFont="1" applyFill="1" applyBorder="1" applyAlignment="1">
      <alignment horizontal="center" vertical="top"/>
    </xf>
    <xf numFmtId="0" fontId="8" fillId="9" borderId="3" xfId="0" applyFont="1" applyFill="1" applyBorder="1" applyAlignment="1">
      <alignment horizontal="center" vertical="top"/>
    </xf>
    <xf numFmtId="0" fontId="8" fillId="9" borderId="4" xfId="0" applyFont="1" applyFill="1" applyBorder="1" applyAlignment="1">
      <alignment horizontal="center" vertical="top"/>
    </xf>
    <xf numFmtId="0" fontId="12" fillId="7" borderId="1" xfId="0" applyFont="1" applyFill="1" applyBorder="1" applyAlignment="1">
      <alignment horizontal="center" vertical="center" wrapText="1"/>
    </xf>
    <xf numFmtId="9" fontId="0" fillId="0" borderId="10" xfId="2" applyFont="1" applyBorder="1" applyAlignment="1">
      <alignment horizontal="center"/>
    </xf>
    <xf numFmtId="9" fontId="0" fillId="0" borderId="11" xfId="2"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17" fillId="0" borderId="6" xfId="0" applyFont="1" applyBorder="1" applyAlignment="1">
      <alignment horizontal="left"/>
    </xf>
    <xf numFmtId="0" fontId="17" fillId="0" borderId="9" xfId="0" applyFont="1" applyBorder="1" applyAlignment="1">
      <alignment horizontal="left"/>
    </xf>
    <xf numFmtId="0" fontId="17" fillId="0" borderId="12" xfId="0" applyFont="1" applyBorder="1" applyAlignment="1">
      <alignment horizontal="left"/>
    </xf>
    <xf numFmtId="0" fontId="12" fillId="0" borderId="6" xfId="0" applyFont="1" applyBorder="1" applyAlignment="1">
      <alignment horizontal="left"/>
    </xf>
    <xf numFmtId="0" fontId="12" fillId="0" borderId="9" xfId="0" applyFont="1" applyBorder="1" applyAlignment="1">
      <alignment horizontal="left"/>
    </xf>
    <xf numFmtId="0" fontId="8" fillId="2" borderId="1" xfId="0" applyFont="1" applyFill="1" applyBorder="1" applyAlignment="1">
      <alignment horizontal="center"/>
    </xf>
  </cellXfs>
  <cellStyles count="10">
    <cellStyle name="Comma" xfId="1" builtinId="3"/>
    <cellStyle name="Comma 2" xfId="3" xr:uid="{00000000-0005-0000-0000-000001000000}"/>
    <cellStyle name="Comma 2 2" xfId="4" xr:uid="{00000000-0005-0000-0000-000002000000}"/>
    <cellStyle name="Comma 2 2 2" xfId="8" xr:uid="{00000000-0005-0000-0000-000003000000}"/>
    <cellStyle name="Comma 2 3" xfId="7" xr:uid="{00000000-0005-0000-0000-000004000000}"/>
    <cellStyle name="Comma 3" xfId="5" xr:uid="{00000000-0005-0000-0000-000005000000}"/>
    <cellStyle name="Comma 3 2" xfId="9" xr:uid="{00000000-0005-0000-0000-000006000000}"/>
    <cellStyle name="Comma 4" xfId="6" xr:uid="{00000000-0005-0000-0000-000007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796875" defaultRowHeight="14.5"/>
  <cols>
    <col min="1" max="1" width="25.453125" style="4" customWidth="1"/>
    <col min="2" max="3" width="14.7265625" style="4" customWidth="1"/>
    <col min="4" max="5" width="14.7265625" style="5" customWidth="1"/>
    <col min="6" max="7" width="14.7265625" style="4" customWidth="1"/>
    <col min="8" max="16384" width="9.1796875" style="4"/>
  </cols>
  <sheetData>
    <row r="1" spans="1:7" s="2" customFormat="1" ht="18.5">
      <c r="A1" s="158" t="s">
        <v>129</v>
      </c>
      <c r="B1" s="159"/>
      <c r="C1" s="159"/>
      <c r="D1" s="159"/>
      <c r="E1" s="159"/>
      <c r="F1" s="160"/>
      <c r="G1" s="41"/>
    </row>
    <row r="2" spans="1:7" s="39" customFormat="1">
      <c r="A2" s="161" t="s">
        <v>128</v>
      </c>
      <c r="B2" s="42" t="s">
        <v>91</v>
      </c>
      <c r="C2" s="42" t="s">
        <v>92</v>
      </c>
      <c r="D2" s="42" t="s">
        <v>93</v>
      </c>
      <c r="E2" s="42" t="s">
        <v>94</v>
      </c>
      <c r="F2" s="42" t="s">
        <v>95</v>
      </c>
      <c r="G2" s="42" t="s">
        <v>96</v>
      </c>
    </row>
    <row r="3" spans="1:7" s="39" customFormat="1" ht="15.5">
      <c r="A3" s="161"/>
      <c r="B3" s="40" t="s">
        <v>130</v>
      </c>
      <c r="C3" s="40" t="s">
        <v>130</v>
      </c>
      <c r="D3" s="40" t="s">
        <v>130</v>
      </c>
      <c r="E3" s="40" t="s">
        <v>130</v>
      </c>
      <c r="F3" s="40" t="s">
        <v>130</v>
      </c>
      <c r="G3" s="40" t="s">
        <v>130</v>
      </c>
    </row>
    <row r="4" spans="1:7" ht="15.5">
      <c r="A4" s="12" t="s">
        <v>127</v>
      </c>
      <c r="B4" s="38"/>
      <c r="C4" s="37"/>
      <c r="D4" s="36"/>
      <c r="E4" s="36"/>
      <c r="F4" s="36"/>
      <c r="G4" s="36"/>
    </row>
    <row r="5" spans="1:7">
      <c r="A5" s="12" t="s">
        <v>90</v>
      </c>
      <c r="B5" s="3"/>
      <c r="C5" s="7"/>
      <c r="D5" s="14"/>
      <c r="E5" s="14"/>
      <c r="F5" s="14"/>
      <c r="G5" s="14"/>
    </row>
    <row r="6" spans="1:7">
      <c r="A6" s="7" t="s">
        <v>126</v>
      </c>
      <c r="B6" s="35" t="e">
        <f>#REF!*10</f>
        <v>#REF!</v>
      </c>
      <c r="C6" s="34">
        <f>'[1]Peer Analysis working '!C5*10</f>
        <v>49222</v>
      </c>
      <c r="D6" s="34">
        <f>'[1]Peer Analysis working '!D5*10</f>
        <v>67286</v>
      </c>
      <c r="E6" s="34">
        <f>'[1]Peer Analysis working '!E5*10</f>
        <v>56892</v>
      </c>
      <c r="F6" s="34">
        <f>'[1]Peer Analysis working '!F5*10</f>
        <v>442740</v>
      </c>
      <c r="G6" s="34"/>
    </row>
    <row r="7" spans="1:7">
      <c r="A7" s="7" t="s">
        <v>123</v>
      </c>
      <c r="B7" s="30">
        <f>'[1]Peer Analysis working '!B7</f>
        <v>6.6957261377430521E-2</v>
      </c>
      <c r="C7" s="29">
        <f>'[1]Peer Analysis working '!C7</f>
        <v>1.7483450932637146E-2</v>
      </c>
      <c r="D7" s="29">
        <f>'[1]Peer Analysis working '!D7</f>
        <v>0.11395326030791875</v>
      </c>
      <c r="E7" s="29">
        <f>'[1]Peer Analysis working '!E7</f>
        <v>8.1957653928725893E-2</v>
      </c>
      <c r="F7" s="29">
        <f>'[1]Peer Analysis working '!F7</f>
        <v>7.2805272529955722E-2</v>
      </c>
      <c r="G7" s="29"/>
    </row>
    <row r="8" spans="1:7" s="17" customFormat="1">
      <c r="A8" s="12" t="s">
        <v>39</v>
      </c>
      <c r="B8" s="33">
        <f>'[1]Peer Analysis working '!B12*10</f>
        <v>2337.6000000000022</v>
      </c>
      <c r="C8" s="32">
        <f>'[1]Peer Analysis working '!C12*10</f>
        <v>8747</v>
      </c>
      <c r="D8" s="32">
        <f>'[1]Peer Analysis working '!D12*10</f>
        <v>9330</v>
      </c>
      <c r="E8" s="32">
        <f>'[1]Peer Analysis working '!E12*10</f>
        <v>9779</v>
      </c>
      <c r="F8" s="32">
        <f>'[1]Peer Analysis working '!F12*10</f>
        <v>54890</v>
      </c>
      <c r="G8" s="32"/>
    </row>
    <row r="9" spans="1:7">
      <c r="A9" s="7" t="s">
        <v>123</v>
      </c>
      <c r="B9" s="30">
        <f>'[1]Peer Analysis working '!B14</f>
        <v>0.27796799337795663</v>
      </c>
      <c r="C9" s="29">
        <f>'[1]Peer Analysis working '!C14</f>
        <v>0.20517447704828018</v>
      </c>
      <c r="D9" s="29">
        <f>'[1]Peer Analysis working '!D14</f>
        <v>0.33549630488669613</v>
      </c>
      <c r="E9" s="29">
        <f>'[1]Peer Analysis working '!E14</f>
        <v>-2.4487478418460316</v>
      </c>
      <c r="F9" s="29">
        <f>'[1]Peer Analysis working '!F14</f>
        <v>5.7989028682093879E-2</v>
      </c>
      <c r="G9" s="29"/>
    </row>
    <row r="10" spans="1:7" s="17" customFormat="1">
      <c r="A10" s="12" t="s">
        <v>125</v>
      </c>
      <c r="B10" s="28" t="e">
        <f>+B8/B$6</f>
        <v>#REF!</v>
      </c>
      <c r="C10" s="28">
        <f>+C8/C$6</f>
        <v>0.17770509121937345</v>
      </c>
      <c r="D10" s="28">
        <f>+D8/D$6</f>
        <v>0.13866183158457926</v>
      </c>
      <c r="E10" s="28">
        <f>+E8/E$6</f>
        <v>0.17188708430007735</v>
      </c>
      <c r="F10" s="28">
        <f>+F8/F$6</f>
        <v>0.12397795545918598</v>
      </c>
      <c r="G10" s="28"/>
    </row>
    <row r="11" spans="1:7" s="17" customFormat="1">
      <c r="A11" s="12" t="s">
        <v>124</v>
      </c>
      <c r="B11" s="26">
        <f>'[1]Peer Analysis working '!B25*10</f>
        <v>623.77000000000226</v>
      </c>
      <c r="C11" s="31">
        <f>'[1]Peer Analysis working '!C25*10</f>
        <v>7883</v>
      </c>
      <c r="D11" s="31">
        <f>'[1]Peer Analysis working '!D25*10</f>
        <v>2960</v>
      </c>
      <c r="E11" s="31">
        <f>'[1]Peer Analysis working '!E25*10</f>
        <v>997</v>
      </c>
      <c r="F11" s="31">
        <f>'[1]Peer Analysis working '!F25*10</f>
        <v>34510</v>
      </c>
      <c r="G11" s="31"/>
    </row>
    <row r="12" spans="1:7">
      <c r="A12" s="7" t="s">
        <v>123</v>
      </c>
      <c r="B12" s="30">
        <f>'[1]Peer Analysis working '!B27</f>
        <v>0.15020466640116381</v>
      </c>
      <c r="C12" s="29">
        <f>'[1]Peer Analysis working '!C27</f>
        <v>-2.3617924740187757E-2</v>
      </c>
      <c r="D12" s="29">
        <f>'[1]Peer Analysis working '!D27</f>
        <v>0.2798301533370493</v>
      </c>
      <c r="E12" s="29">
        <f>'[1]Peer Analysis working '!E27</f>
        <v>-1.7739968460390942E-2</v>
      </c>
      <c r="F12" s="29">
        <f>'[1]Peer Analysis working '!F27</f>
        <v>1.3492351397157654E-2</v>
      </c>
      <c r="G12" s="29"/>
    </row>
    <row r="13" spans="1:7">
      <c r="A13" s="12" t="s">
        <v>122</v>
      </c>
      <c r="B13" s="28" t="e">
        <f>+B11/B$6</f>
        <v>#REF!</v>
      </c>
      <c r="C13" s="27">
        <f>+C11/C$6</f>
        <v>0.1601519645686888</v>
      </c>
      <c r="D13" s="27">
        <f>+D11/D$6</f>
        <v>4.3991320631334901E-2</v>
      </c>
      <c r="E13" s="27">
        <f>+E11/E$6</f>
        <v>1.7524432257610911E-2</v>
      </c>
      <c r="F13" s="27">
        <f>+F11/F$6</f>
        <v>7.7946424538103631E-2</v>
      </c>
      <c r="G13" s="27"/>
    </row>
    <row r="14" spans="1:7">
      <c r="A14" s="7" t="s">
        <v>48</v>
      </c>
      <c r="B14" s="8">
        <f>'[1]Peer Analysis working '!B29</f>
        <v>3.76</v>
      </c>
      <c r="C14" s="8">
        <f>'[1]Peer Analysis working '!C29</f>
        <v>52.21</v>
      </c>
      <c r="D14" s="8">
        <f>'[1]Peer Analysis working '!D29</f>
        <v>7.83</v>
      </c>
      <c r="E14" s="8">
        <f>'[1]Peer Analysis working '!E29</f>
        <v>3.26</v>
      </c>
      <c r="F14" s="8">
        <f>'[1]Peer Analysis working '!F29</f>
        <v>31.37</v>
      </c>
      <c r="G14" s="8"/>
    </row>
    <row r="15" spans="1:7">
      <c r="A15" s="7"/>
      <c r="B15" s="3"/>
      <c r="C15" s="7"/>
      <c r="D15" s="14"/>
      <c r="E15" s="14"/>
      <c r="F15" s="7"/>
      <c r="G15" s="7"/>
    </row>
    <row r="16" spans="1:7">
      <c r="A16" s="7"/>
      <c r="B16" s="3"/>
      <c r="C16" s="7"/>
      <c r="D16" s="14"/>
      <c r="E16" s="14"/>
      <c r="F16" s="7"/>
      <c r="G16" s="7"/>
    </row>
    <row r="17" spans="1:7">
      <c r="A17" s="12" t="s">
        <v>121</v>
      </c>
      <c r="B17" s="13"/>
      <c r="C17" s="12"/>
      <c r="D17" s="12"/>
      <c r="E17" s="12"/>
      <c r="F17" s="12"/>
      <c r="G17" s="12"/>
    </row>
    <row r="18" spans="1:7" s="17" customFormat="1">
      <c r="A18" s="12" t="s">
        <v>120</v>
      </c>
      <c r="B18" s="26">
        <f>'[1]Peer Analysis working '!I5*10</f>
        <v>6806.94</v>
      </c>
      <c r="C18" s="26">
        <f>'[1]Peer Analysis working '!J5*10</f>
        <v>47546</v>
      </c>
      <c r="D18" s="26">
        <f>'[1]Peer Analysis working '!K5*10</f>
        <v>31513</v>
      </c>
      <c r="E18" s="26">
        <f>'[1]Peer Analysis working '!L5*10</f>
        <v>60583</v>
      </c>
      <c r="F18" s="26">
        <f>'[1]Peer Analysis working '!M5*10</f>
        <v>256090</v>
      </c>
      <c r="G18" s="26"/>
    </row>
    <row r="19" spans="1:7" s="17" customFormat="1">
      <c r="A19" s="12" t="s">
        <v>67</v>
      </c>
      <c r="B19" s="26">
        <f>SUM(B20:B21)</f>
        <v>1806.12</v>
      </c>
      <c r="C19" s="26">
        <f>SUM(C20:C21)</f>
        <v>0</v>
      </c>
      <c r="D19" s="26">
        <f>SUM(D20:D21)</f>
        <v>12219</v>
      </c>
      <c r="E19" s="26">
        <f>SUM(E20:E21)</f>
        <v>9292</v>
      </c>
      <c r="F19" s="26">
        <f>SUM(F20:F21)</f>
        <v>37380</v>
      </c>
      <c r="G19" s="26"/>
    </row>
    <row r="20" spans="1:7">
      <c r="A20" s="25" t="s">
        <v>119</v>
      </c>
      <c r="B20" s="8">
        <f>'[1]Peer Analysis working '!I6*10</f>
        <v>0</v>
      </c>
      <c r="C20" s="8">
        <f>'[1]Peer Analysis working '!J6*10</f>
        <v>0</v>
      </c>
      <c r="D20" s="8">
        <f>'[1]Peer Analysis working '!K6*10</f>
        <v>3893</v>
      </c>
      <c r="E20" s="8">
        <f>'[1]Peer Analysis working '!L6*10</f>
        <v>667</v>
      </c>
      <c r="F20" s="8">
        <f>'[1]Peer Analysis working '!M6*10</f>
        <v>8590</v>
      </c>
      <c r="G20" s="8"/>
    </row>
    <row r="21" spans="1:7">
      <c r="A21" s="25" t="s">
        <v>118</v>
      </c>
      <c r="B21" s="8">
        <f>'[1]Peer Analysis working '!I7*10</f>
        <v>1806.12</v>
      </c>
      <c r="C21" s="8">
        <f>'[1]Peer Analysis working '!J7*10</f>
        <v>0</v>
      </c>
      <c r="D21" s="8">
        <f>'[1]Peer Analysis working '!K7*10</f>
        <v>8326</v>
      </c>
      <c r="E21" s="8">
        <f>'[1]Peer Analysis working '!L7*10</f>
        <v>8625</v>
      </c>
      <c r="F21" s="8">
        <f>'[1]Peer Analysis working '!M7*10</f>
        <v>28790</v>
      </c>
      <c r="G21" s="8"/>
    </row>
    <row r="22" spans="1:7">
      <c r="A22" s="7"/>
      <c r="B22" s="3"/>
      <c r="C22" s="7"/>
      <c r="D22" s="14"/>
      <c r="E22" s="14"/>
      <c r="F22" s="7"/>
      <c r="G22" s="7"/>
    </row>
    <row r="23" spans="1:7">
      <c r="A23" s="12" t="s">
        <v>117</v>
      </c>
      <c r="B23" s="13"/>
      <c r="C23" s="12"/>
      <c r="D23" s="12"/>
      <c r="E23" s="12"/>
      <c r="F23" s="12"/>
      <c r="G23" s="12"/>
    </row>
    <row r="24" spans="1:7">
      <c r="A24" s="23" t="s">
        <v>116</v>
      </c>
      <c r="B24" s="24"/>
      <c r="C24" s="7"/>
      <c r="D24" s="7"/>
      <c r="E24" s="7"/>
      <c r="F24" s="7"/>
      <c r="G24" s="7"/>
    </row>
    <row r="25" spans="1:7">
      <c r="A25" s="23" t="s">
        <v>65</v>
      </c>
      <c r="B25" s="22"/>
      <c r="C25" s="7"/>
      <c r="D25" s="7"/>
      <c r="E25" s="7"/>
      <c r="F25" s="7"/>
      <c r="G25" s="7"/>
    </row>
    <row r="26" spans="1:7" s="2" customFormat="1">
      <c r="A26" s="3"/>
      <c r="B26" s="3"/>
      <c r="C26" s="3"/>
      <c r="D26" s="21"/>
      <c r="E26" s="21"/>
      <c r="F26" s="21"/>
      <c r="G26" s="21"/>
    </row>
    <row r="27" spans="1:7" s="2" customFormat="1">
      <c r="A27" s="3" t="s">
        <v>66</v>
      </c>
      <c r="B27" s="20">
        <f>'[1]Peer Analysis working '!I27</f>
        <v>16042570</v>
      </c>
      <c r="C27" s="20">
        <f>'[1]Peer Analysis working '!J27</f>
        <v>15050871</v>
      </c>
      <c r="D27" s="20">
        <f>'[1]Peer Analysis working '!K27</f>
        <v>37759530</v>
      </c>
      <c r="E27" s="20">
        <f>'[1]Peer Analysis working '!L27</f>
        <v>30603181</v>
      </c>
      <c r="F27" s="20">
        <f>'[1]Peer Analysis working '!M27</f>
        <v>109971221</v>
      </c>
      <c r="G27" s="20"/>
    </row>
    <row r="28" spans="1:7" s="17" customFormat="1">
      <c r="A28" s="12" t="s">
        <v>97</v>
      </c>
      <c r="B28" s="19">
        <f>'[1]Peer Analysis working '!I28*10</f>
        <v>705.87307999999996</v>
      </c>
      <c r="C28" s="18">
        <f>'[1]Peer Analysis working '!J28*10</f>
        <v>5698.2597605999999</v>
      </c>
      <c r="D28" s="18">
        <f>'[1]Peer Analysis working '!K28*10</f>
        <v>1049.7149340000001</v>
      </c>
      <c r="E28" s="18">
        <f>'[1]Peer Analysis working '!L28*10</f>
        <v>2209.5496682000003</v>
      </c>
      <c r="F28" s="18">
        <f>'[1]Peer Analysis working '!M28*10</f>
        <v>25254.89090265</v>
      </c>
      <c r="G28" s="18"/>
    </row>
    <row r="29" spans="1:7" s="17" customFormat="1">
      <c r="A29" s="12" t="s">
        <v>69</v>
      </c>
      <c r="B29" s="19">
        <f>'[1]Peer Analysis working '!I31*10</f>
        <v>297.57307999999966</v>
      </c>
      <c r="C29" s="18">
        <f>'[1]Peer Analysis working '!J31*10</f>
        <v>3873.2597605999999</v>
      </c>
      <c r="D29" s="18">
        <f>'[1]Peer Analysis working '!K31*10</f>
        <v>6252.7149340000014</v>
      </c>
      <c r="E29" s="18">
        <f>'[1]Peer Analysis working '!L31*10</f>
        <v>9985.5496681999994</v>
      </c>
      <c r="F29" s="18">
        <f>'[1]Peer Analysis working '!M31*10</f>
        <v>-32545.109097349996</v>
      </c>
      <c r="G29" s="18"/>
    </row>
    <row r="30" spans="1:7">
      <c r="A30" s="7"/>
      <c r="B30" s="3"/>
      <c r="C30" s="7"/>
      <c r="D30" s="14"/>
      <c r="E30" s="7"/>
      <c r="F30" s="7"/>
      <c r="G30" s="7"/>
    </row>
    <row r="31" spans="1:7">
      <c r="A31" s="7" t="s">
        <v>115</v>
      </c>
      <c r="B31" s="9">
        <f>'[1]Peer Analysis working '!I35</f>
        <v>11.702127659574469</v>
      </c>
      <c r="C31" s="9">
        <f>'[1]Peer Analysis working '!J35</f>
        <v>7.2514843899636086</v>
      </c>
      <c r="D31" s="9">
        <f>'[1]Peer Analysis working '!K35</f>
        <v>3.5504469987228608</v>
      </c>
      <c r="E31" s="9">
        <f>'[1]Peer Analysis working '!L35</f>
        <v>22.147239263803684</v>
      </c>
      <c r="F31" s="9">
        <f>'[1]Peer Analysis working '!M35</f>
        <v>7.3206885559451704</v>
      </c>
      <c r="G31" s="9"/>
    </row>
    <row r="32" spans="1:7">
      <c r="A32" s="7" t="s">
        <v>80</v>
      </c>
      <c r="B32" s="16">
        <f>'[1]Peer Analysis working '!I44</f>
        <v>3.4090909090909088E-2</v>
      </c>
      <c r="C32" s="15">
        <f>'[1]Peer Analysis working '!J44</f>
        <v>0.10565240359218171</v>
      </c>
      <c r="D32" s="15">
        <f>'[1]Peer Analysis working '!K44</f>
        <v>0</v>
      </c>
      <c r="E32" s="15">
        <f>'[1]Peer Analysis working '!L44</f>
        <v>0</v>
      </c>
      <c r="F32" s="15">
        <f>'[1]Peer Analysis working '!M44</f>
        <v>6.531678641410843E-2</v>
      </c>
      <c r="G32" s="15"/>
    </row>
    <row r="33" spans="1:7">
      <c r="A33" s="7" t="s">
        <v>114</v>
      </c>
      <c r="B33" s="9">
        <f>'[1]Peer Analysis working '!I36</f>
        <v>0.10369903069514348</v>
      </c>
      <c r="C33" s="9">
        <f>'[1]Peer Analysis working '!J36</f>
        <v>0.11984730073192279</v>
      </c>
      <c r="D33" s="9">
        <f>'[1]Peer Analysis working '!K36</f>
        <v>3.3310536413543618E-2</v>
      </c>
      <c r="E33" s="9">
        <f>'[1]Peer Analysis working '!L36</f>
        <v>3.6471446910849581E-2</v>
      </c>
      <c r="F33" s="9">
        <f>'[1]Peer Analysis working '!M36</f>
        <v>9.8617247462415569E-2</v>
      </c>
      <c r="G33" s="9"/>
    </row>
    <row r="34" spans="1:7">
      <c r="A34" s="7" t="s">
        <v>113</v>
      </c>
      <c r="B34" s="9">
        <f>'[1]Peer Analysis working '!I37</f>
        <v>0.12729854551676908</v>
      </c>
      <c r="C34" s="9">
        <f>'[1]Peer Analysis working '!J37</f>
        <v>0.44281007895278379</v>
      </c>
      <c r="D34" s="9">
        <f>'[1]Peer Analysis working '!K37</f>
        <v>0.67017309046087903</v>
      </c>
      <c r="E34" s="9">
        <f>'[1]Peer Analysis working '!L37</f>
        <v>1.021121757664383</v>
      </c>
      <c r="F34" s="9">
        <f>'[1]Peer Analysis working '!M37</f>
        <v>-0.59291508648843139</v>
      </c>
      <c r="G34" s="9"/>
    </row>
    <row r="35" spans="1:7">
      <c r="A35" s="7"/>
      <c r="B35" s="3"/>
      <c r="C35" s="7"/>
      <c r="D35" s="14"/>
      <c r="E35" s="14"/>
      <c r="F35" s="7"/>
      <c r="G35" s="7"/>
    </row>
    <row r="36" spans="1:7">
      <c r="A36" s="12" t="s">
        <v>112</v>
      </c>
      <c r="B36" s="13"/>
      <c r="C36" s="12"/>
      <c r="D36" s="12"/>
      <c r="E36" s="12"/>
      <c r="F36" s="12"/>
      <c r="G36" s="12"/>
    </row>
    <row r="37" spans="1:7">
      <c r="A37" s="12" t="s">
        <v>131</v>
      </c>
      <c r="B37" s="8" t="e">
        <f>#REF!</f>
        <v>#REF!</v>
      </c>
      <c r="C37" s="8">
        <f>'[1]Peer Analysis working '!J32</f>
        <v>378.6</v>
      </c>
      <c r="D37" s="8">
        <f>'[1]Peer Analysis working '!K32</f>
        <v>27.8</v>
      </c>
      <c r="E37" s="8">
        <f>'[1]Peer Analysis working '!L32</f>
        <v>72.2</v>
      </c>
      <c r="F37" s="8">
        <f>'[1]Peer Analysis working '!M32</f>
        <v>229.65</v>
      </c>
      <c r="G37" s="8"/>
    </row>
    <row r="38" spans="1:7">
      <c r="A38" s="7" t="s">
        <v>111</v>
      </c>
      <c r="B38" s="8">
        <f>B18</f>
        <v>6806.94</v>
      </c>
      <c r="C38" s="8">
        <f>C18</f>
        <v>47546</v>
      </c>
      <c r="D38" s="8">
        <f>D18</f>
        <v>31513</v>
      </c>
      <c r="E38" s="8">
        <f>E18</f>
        <v>60583</v>
      </c>
      <c r="F38" s="8">
        <f>F18</f>
        <v>256090</v>
      </c>
      <c r="G38" s="8"/>
    </row>
    <row r="39" spans="1:7">
      <c r="A39" s="7" t="s">
        <v>110</v>
      </c>
      <c r="B39" s="8">
        <f>'[1]Peer Analysis working '!I34</f>
        <v>424.30483395116869</v>
      </c>
      <c r="C39" s="8">
        <f>'[1]Peer Analysis working '!J34</f>
        <v>3159.0198334701026</v>
      </c>
      <c r="D39" s="8">
        <f>'[1]Peer Analysis working '!K34</f>
        <v>834.57076928658807</v>
      </c>
      <c r="E39" s="8">
        <f>'[1]Peer Analysis working '!L34</f>
        <v>1979.6308102742653</v>
      </c>
      <c r="F39" s="8">
        <f>'[1]Peer Analysis working '!M34</f>
        <v>2328.7001605629166</v>
      </c>
      <c r="G39" s="8"/>
    </row>
    <row r="40" spans="1:7">
      <c r="A40" s="7" t="s">
        <v>109</v>
      </c>
      <c r="B40" s="6">
        <f>'[1]Peer Analysis working '!I38</f>
        <v>9.1637358343103104E-2</v>
      </c>
      <c r="C40" s="6">
        <f>'[1]Peer Analysis working '!J38</f>
        <v>0.16579733310898917</v>
      </c>
      <c r="D40" s="6">
        <f>'[1]Peer Analysis working '!K38</f>
        <v>9.392948941706597E-2</v>
      </c>
      <c r="E40" s="6">
        <f>'[1]Peer Analysis working '!L38</f>
        <v>1.6456761797864088E-2</v>
      </c>
      <c r="F40" s="6">
        <f>'[1]Peer Analysis working '!M38</f>
        <v>0.13475731188254128</v>
      </c>
      <c r="G40" s="6"/>
    </row>
    <row r="41" spans="1:7">
      <c r="A41" s="7" t="s">
        <v>108</v>
      </c>
      <c r="B41" s="6">
        <f>'[1]Peer Analysis working '!I39</f>
        <v>0.15966919879744115</v>
      </c>
      <c r="C41" s="6">
        <f>'[1]Peer Analysis working '!J39</f>
        <v>0.23463756949794889</v>
      </c>
      <c r="D41" s="6">
        <f>'[1]Peer Analysis working '!K39</f>
        <v>0.16266310441067727</v>
      </c>
      <c r="E41" s="6">
        <f>'[1]Peer Analysis working '!L39</f>
        <v>7.0130917016226549E-2</v>
      </c>
      <c r="F41" s="6">
        <f>'[1]Peer Analysis working '!M39</f>
        <v>0.12677259525029899</v>
      </c>
      <c r="G41" s="6"/>
    </row>
    <row r="42" spans="1:7">
      <c r="A42" s="7" t="s">
        <v>107</v>
      </c>
      <c r="B42" s="9">
        <f>'[1]Peer Analysis working '!I40</f>
        <v>0.19664505085895492</v>
      </c>
      <c r="C42" s="9">
        <f>'[1]Peer Analysis working '!J40</f>
        <v>0.68930559505911992</v>
      </c>
      <c r="D42" s="9">
        <f>'[1]Peer Analysis working '!K40</f>
        <v>0.63170644710638169</v>
      </c>
      <c r="E42" s="9">
        <f>'[1]Peer Analysis working '!L40</f>
        <v>0.8970505519229417</v>
      </c>
      <c r="F42" s="9">
        <f>'[1]Peer Analysis working '!M40</f>
        <v>0.46451642047251207</v>
      </c>
      <c r="G42" s="9"/>
    </row>
    <row r="43" spans="1:7">
      <c r="A43" s="7" t="s">
        <v>106</v>
      </c>
      <c r="B43" s="10">
        <f>'[1]Peer Analysis working '!I45</f>
        <v>66.342013720741051</v>
      </c>
      <c r="C43" s="10">
        <f>'[1]Peer Analysis working '!J45</f>
        <v>65.062573645930684</v>
      </c>
      <c r="D43" s="10">
        <f>'[1]Peer Analysis working '!K45</f>
        <v>86.592976250631622</v>
      </c>
      <c r="E43" s="10">
        <f>'[1]Peer Analysis working '!L45</f>
        <v>107.90185790620825</v>
      </c>
      <c r="F43" s="10">
        <f>'[1]Peer Analysis working '!M45</f>
        <v>56.711275240547494</v>
      </c>
      <c r="G43" s="10"/>
    </row>
    <row r="44" spans="1:7">
      <c r="A44" s="7" t="s">
        <v>83</v>
      </c>
      <c r="B44" s="10">
        <f>'[1]Peer Analysis working '!I47</f>
        <v>0</v>
      </c>
      <c r="C44" s="10">
        <f>'[1]Peer Analysis working '!J47</f>
        <v>0</v>
      </c>
      <c r="D44" s="10">
        <f>'[1]Peer Analysis working '!K47</f>
        <v>10.79</v>
      </c>
      <c r="E44" s="10">
        <f>'[1]Peer Analysis working '!L47</f>
        <v>0</v>
      </c>
      <c r="F44" s="10">
        <f>'[1]Peer Analysis working '!M47</f>
        <v>16.899999999999999</v>
      </c>
      <c r="G44" s="10"/>
    </row>
    <row r="45" spans="1:7">
      <c r="A45" s="7" t="s">
        <v>105</v>
      </c>
      <c r="B45" s="11">
        <f>'[1]Peer Analysis working '!I46</f>
        <v>6242.8348665021331</v>
      </c>
      <c r="C45" s="10">
        <f>'[1]Peer Analysis working '!J46</f>
        <v>17.260000000000002</v>
      </c>
      <c r="D45" s="10">
        <f>'[1]Peer Analysis working '!K46</f>
        <v>29.69</v>
      </c>
      <c r="E45" s="10">
        <f>'[1]Peer Analysis working '!L46</f>
        <v>50.87</v>
      </c>
      <c r="F45" s="10">
        <f>'[1]Peer Analysis working '!M46</f>
        <v>51.52</v>
      </c>
      <c r="G45" s="10"/>
    </row>
    <row r="46" spans="1:7">
      <c r="A46" s="7" t="s">
        <v>104</v>
      </c>
      <c r="B46" s="11">
        <f>'[1]Peer Analysis working '!I48</f>
        <v>-6176.4928527813918</v>
      </c>
      <c r="C46" s="10">
        <f>'[1]Peer Analysis working '!J48</f>
        <v>47.802573645930678</v>
      </c>
      <c r="D46" s="10">
        <f>'[1]Peer Analysis working '!K48</f>
        <v>67.692976250631631</v>
      </c>
      <c r="E46" s="10">
        <f>'[1]Peer Analysis working '!L48</f>
        <v>57.031857906208252</v>
      </c>
      <c r="F46" s="10">
        <f>'[1]Peer Analysis working '!M48</f>
        <v>22.091275240547482</v>
      </c>
      <c r="G46" s="10"/>
    </row>
    <row r="47" spans="1:7">
      <c r="A47" s="7" t="s">
        <v>84</v>
      </c>
      <c r="B47" s="10">
        <f>'[1]Peer Analysis working '!I49</f>
        <v>38.568782865166789</v>
      </c>
      <c r="C47" s="10">
        <f>'[1]Peer Analysis working '!J49</f>
        <v>104.5124131485921</v>
      </c>
      <c r="D47" s="10">
        <f>'[1]Peer Analysis working '!K49</f>
        <v>-3.1679695627619462</v>
      </c>
      <c r="E47" s="10">
        <f>'[1]Peer Analysis working '!L49</f>
        <v>102.35551571398437</v>
      </c>
      <c r="F47" s="10">
        <f>'[1]Peer Analysis working '!M49</f>
        <v>168.22119076658987</v>
      </c>
      <c r="G47" s="10"/>
    </row>
    <row r="48" spans="1:7">
      <c r="A48" s="7" t="s">
        <v>103</v>
      </c>
      <c r="B48" s="9">
        <f>'[1]Peer Analysis working '!I41</f>
        <v>0.2653350844873027</v>
      </c>
      <c r="C48" s="9">
        <f>'[1]Peer Analysis working '!J41</f>
        <v>0</v>
      </c>
      <c r="D48" s="9">
        <f>'[1]Peer Analysis working '!K41</f>
        <v>0.38774474026592198</v>
      </c>
      <c r="E48" s="9">
        <f>'[1]Peer Analysis working '!L41</f>
        <v>0.15337635970486771</v>
      </c>
      <c r="F48" s="9">
        <f>'[1]Peer Analysis working '!M41</f>
        <v>0.14596430942246866</v>
      </c>
      <c r="G48" s="9"/>
    </row>
    <row r="49" spans="1:7">
      <c r="A49" s="7" t="s">
        <v>102</v>
      </c>
      <c r="B49" s="9">
        <f>'[1]Peer Analysis working '!I42</f>
        <v>-5.998289980519883E-2</v>
      </c>
      <c r="C49" s="9">
        <f>'[1]Peer Analysis working '!J42</f>
        <v>-3.8383880873259578E-2</v>
      </c>
      <c r="D49" s="9">
        <f>'[1]Peer Analysis working '!K42</f>
        <v>0.16510646399898457</v>
      </c>
      <c r="E49" s="9">
        <f>'[1]Peer Analysis working '!L42</f>
        <v>0.128352838254956</v>
      </c>
      <c r="F49" s="9">
        <f>'[1]Peer Analysis working '!M42</f>
        <v>-0.22570190167519233</v>
      </c>
      <c r="G49" s="9"/>
    </row>
    <row r="50" spans="1:7">
      <c r="A50" s="7" t="s">
        <v>98</v>
      </c>
      <c r="B50" s="8">
        <f>'[1]Peer Analysis working '!I51</f>
        <v>3.7837018647884131</v>
      </c>
      <c r="C50" s="8">
        <f>'[1]Peer Analysis working '!J51</f>
        <v>158.70422535211267</v>
      </c>
      <c r="D50" s="8">
        <f>'[1]Peer Analysis working '!K51</f>
        <v>2.2760347129506009</v>
      </c>
      <c r="E50" s="8">
        <f>'[1]Peer Analysis working '!L51</f>
        <v>3.4877505567928733</v>
      </c>
      <c r="F50" s="8">
        <f>'[1]Peer Analysis working '!M51</f>
        <v>10.687242798353909</v>
      </c>
      <c r="G50" s="8"/>
    </row>
    <row r="51" spans="1:7">
      <c r="A51" s="7" t="s">
        <v>101</v>
      </c>
      <c r="B51" s="6">
        <f>'[1]Peer Analysis working '!I50</f>
        <v>0.19180342391424715</v>
      </c>
      <c r="C51" s="6">
        <f>'[1]Peer Analysis working '!J50</f>
        <v>0</v>
      </c>
      <c r="D51" s="6">
        <f>'[1]Peer Analysis working '!K50</f>
        <v>0.24519191423193387</v>
      </c>
      <c r="E51" s="6">
        <f>'[1]Peer Analysis working '!L50</f>
        <v>0.14496340938441668</v>
      </c>
      <c r="F51" s="6">
        <f>'[1]Peer Analysis working '!M50</f>
        <v>0.13001605136436598</v>
      </c>
      <c r="G51" s="6"/>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89"/>
  <sheetViews>
    <sheetView tabSelected="1" zoomScale="70" zoomScaleNormal="70" workbookViewId="0">
      <pane xSplit="1" ySplit="3" topLeftCell="C4" activePane="bottomRight" state="frozen"/>
      <selection pane="topRight" activeCell="B1" sqref="B1"/>
      <selection pane="bottomLeft" activeCell="A3" sqref="A3"/>
      <selection pane="bottomRight" activeCell="W66" sqref="W66"/>
    </sheetView>
  </sheetViews>
  <sheetFormatPr defaultColWidth="8.81640625" defaultRowHeight="14.5"/>
  <cols>
    <col min="1" max="1" width="54.54296875" style="55" customWidth="1"/>
    <col min="2" max="2" width="3.26953125" style="55" hidden="1" customWidth="1"/>
    <col min="3" max="3" width="9.54296875" style="55" bestFit="1" customWidth="1"/>
    <col min="4" max="4" width="10.26953125" style="55" bestFit="1" customWidth="1"/>
    <col min="5" max="5" width="10.54296875" style="55" bestFit="1" customWidth="1"/>
    <col min="6" max="6" width="9.54296875" style="55" bestFit="1" customWidth="1"/>
    <col min="7" max="7" width="10.7265625" style="55" bestFit="1" customWidth="1"/>
    <col min="8" max="8" width="11.453125" style="55" bestFit="1" customWidth="1"/>
    <col min="9" max="9" width="14.26953125" style="55" bestFit="1" customWidth="1"/>
    <col min="10" max="10" width="10.7265625" style="55" bestFit="1" customWidth="1"/>
    <col min="11" max="11" width="11.54296875" style="55" bestFit="1" customWidth="1"/>
    <col min="12" max="12" width="2.54296875" style="55" customWidth="1"/>
    <col min="13" max="13" width="50.26953125" style="55" bestFit="1" customWidth="1"/>
    <col min="14" max="14" width="2.81640625" style="55" hidden="1" customWidth="1"/>
    <col min="15" max="15" width="9.54296875" style="55" bestFit="1" customWidth="1"/>
    <col min="16" max="16" width="10.54296875" style="55" bestFit="1" customWidth="1"/>
    <col min="17" max="17" width="9.1796875" style="55" bestFit="1" customWidth="1"/>
    <col min="18" max="19" width="9.54296875" style="55" bestFit="1" customWidth="1"/>
    <col min="20" max="20" width="10.1796875" style="55" bestFit="1" customWidth="1"/>
    <col min="21" max="21" width="9.54296875" style="55" bestFit="1" customWidth="1"/>
    <col min="22" max="22" width="13.1796875" style="55" bestFit="1" customWidth="1"/>
    <col min="23" max="23" width="13.1796875" style="55" customWidth="1"/>
    <col min="24" max="16384" width="8.81640625" style="55"/>
  </cols>
  <sheetData>
    <row r="1" spans="1:24" ht="18.5">
      <c r="A1" s="171" t="s">
        <v>152</v>
      </c>
      <c r="B1" s="171"/>
      <c r="C1" s="171"/>
      <c r="D1" s="171"/>
      <c r="E1" s="171"/>
      <c r="F1" s="171"/>
      <c r="G1" s="171"/>
      <c r="H1" s="171"/>
      <c r="I1" s="171"/>
      <c r="J1" s="171"/>
      <c r="K1" s="171"/>
      <c r="L1" s="171"/>
      <c r="M1" s="171"/>
      <c r="N1" s="171"/>
      <c r="O1" s="171"/>
      <c r="P1" s="171"/>
      <c r="Q1" s="171"/>
      <c r="R1" s="171"/>
      <c r="S1" s="171"/>
      <c r="T1" s="171"/>
      <c r="U1" s="171"/>
      <c r="V1" s="171"/>
      <c r="W1" s="171"/>
    </row>
    <row r="2" spans="1:24" ht="15.5">
      <c r="A2" s="166" t="s">
        <v>141</v>
      </c>
      <c r="B2" s="167"/>
      <c r="C2" s="167"/>
      <c r="D2" s="167"/>
      <c r="E2" s="167"/>
      <c r="F2" s="167"/>
      <c r="G2" s="167"/>
      <c r="H2" s="167"/>
      <c r="I2" s="167"/>
      <c r="J2" s="167"/>
      <c r="K2" s="168"/>
      <c r="L2" s="43"/>
      <c r="M2" s="169" t="s">
        <v>142</v>
      </c>
      <c r="N2" s="170"/>
      <c r="O2" s="170"/>
      <c r="P2" s="170"/>
      <c r="Q2" s="170"/>
      <c r="R2" s="170"/>
      <c r="S2" s="170"/>
      <c r="T2" s="170"/>
      <c r="U2" s="170"/>
      <c r="V2" s="170"/>
      <c r="W2" s="170"/>
    </row>
    <row r="3" spans="1:24">
      <c r="A3" s="88" t="s">
        <v>0</v>
      </c>
      <c r="B3" s="136"/>
      <c r="C3" s="136" t="s">
        <v>31</v>
      </c>
      <c r="D3" s="136" t="s">
        <v>30</v>
      </c>
      <c r="E3" s="136" t="s">
        <v>1</v>
      </c>
      <c r="F3" s="136" t="s">
        <v>2</v>
      </c>
      <c r="G3" s="136" t="s">
        <v>49</v>
      </c>
      <c r="H3" s="136" t="s">
        <v>132</v>
      </c>
      <c r="I3" s="136" t="s">
        <v>149</v>
      </c>
      <c r="J3" s="136" t="s">
        <v>162</v>
      </c>
      <c r="K3" s="136" t="s">
        <v>166</v>
      </c>
      <c r="L3" s="44"/>
      <c r="M3" s="88" t="s">
        <v>0</v>
      </c>
      <c r="N3" s="136"/>
      <c r="O3" s="136" t="s">
        <v>31</v>
      </c>
      <c r="P3" s="136" t="s">
        <v>30</v>
      </c>
      <c r="Q3" s="136" t="s">
        <v>1</v>
      </c>
      <c r="R3" s="136" t="s">
        <v>2</v>
      </c>
      <c r="S3" s="136" t="s">
        <v>49</v>
      </c>
      <c r="T3" s="136" t="s">
        <v>132</v>
      </c>
      <c r="U3" s="136" t="s">
        <v>149</v>
      </c>
      <c r="V3" s="136" t="s">
        <v>162</v>
      </c>
      <c r="W3" s="136" t="s">
        <v>165</v>
      </c>
    </row>
    <row r="4" spans="1:24">
      <c r="A4" s="59" t="s">
        <v>32</v>
      </c>
      <c r="B4" s="60"/>
      <c r="C4" s="61">
        <v>25271.9</v>
      </c>
      <c r="D4" s="61">
        <v>41824.199999999997</v>
      </c>
      <c r="E4" s="61">
        <v>27568.400000000001</v>
      </c>
      <c r="F4" s="97">
        <v>7220</v>
      </c>
      <c r="G4" s="97">
        <v>7455</v>
      </c>
      <c r="H4" s="97">
        <v>9706</v>
      </c>
      <c r="I4" s="123">
        <v>11692</v>
      </c>
      <c r="J4" s="123">
        <v>11069.05</v>
      </c>
      <c r="K4" s="135">
        <f>696.573+15.511</f>
        <v>712.08399999999995</v>
      </c>
      <c r="L4" s="43"/>
      <c r="M4" s="59" t="s">
        <v>3</v>
      </c>
      <c r="N4" s="60"/>
      <c r="O4" s="61">
        <v>186.1</v>
      </c>
      <c r="P4" s="61">
        <v>186.1</v>
      </c>
      <c r="Q4" s="61">
        <v>186.1</v>
      </c>
      <c r="R4" s="97">
        <v>186.5</v>
      </c>
      <c r="S4" s="97">
        <v>186.5</v>
      </c>
      <c r="T4" s="97">
        <v>186.5</v>
      </c>
      <c r="U4" s="97">
        <v>186.5</v>
      </c>
      <c r="V4" s="123">
        <v>187.78</v>
      </c>
      <c r="W4" s="85">
        <v>187.78</v>
      </c>
    </row>
    <row r="5" spans="1:24">
      <c r="A5" s="111" t="s">
        <v>33</v>
      </c>
      <c r="B5" s="112"/>
      <c r="C5" s="112"/>
      <c r="D5" s="112">
        <f t="shared" ref="D5:E5" si="0">D4/C4-1</f>
        <v>0.65496856192055186</v>
      </c>
      <c r="E5" s="112">
        <f t="shared" si="0"/>
        <v>-0.34085051238278308</v>
      </c>
      <c r="F5" s="109">
        <f>F4/E4-1</f>
        <v>-0.73810594738903967</v>
      </c>
      <c r="G5" s="109">
        <f>G4/F4-1</f>
        <v>3.2548476454293596E-2</v>
      </c>
      <c r="H5" s="109">
        <f>H4/G4-1</f>
        <v>0.30194500335345409</v>
      </c>
      <c r="I5" s="109">
        <f>I4/H4-1</f>
        <v>0.20461570162785914</v>
      </c>
      <c r="J5" s="109">
        <f>J4/I4-1</f>
        <v>-5.3280020526855987E-2</v>
      </c>
      <c r="K5" s="109"/>
      <c r="L5" s="45"/>
      <c r="M5" s="59" t="s">
        <v>163</v>
      </c>
      <c r="N5" s="60"/>
      <c r="O5" s="61">
        <v>485</v>
      </c>
      <c r="P5" s="61">
        <v>641.20000000000005</v>
      </c>
      <c r="Q5" s="61">
        <v>683.7</v>
      </c>
      <c r="R5" s="97">
        <v>2575</v>
      </c>
      <c r="S5" s="97">
        <v>3020</v>
      </c>
      <c r="T5" s="97">
        <v>3120</v>
      </c>
      <c r="U5" s="97">
        <v>3357</v>
      </c>
      <c r="V5" s="127">
        <v>4473.75</v>
      </c>
      <c r="W5" s="85">
        <v>4705.25</v>
      </c>
    </row>
    <row r="6" spans="1:24">
      <c r="A6" s="111" t="s">
        <v>34</v>
      </c>
      <c r="B6" s="113"/>
      <c r="C6" s="114"/>
      <c r="D6" s="114"/>
      <c r="E6" s="112"/>
      <c r="F6" s="109">
        <f>((F4/C4)^(1/3)-1)</f>
        <v>-0.34138275027595411</v>
      </c>
      <c r="G6" s="109">
        <f>((G4/D4)^(1/3)-1)</f>
        <v>-0.43721825504705314</v>
      </c>
      <c r="H6" s="109">
        <f>((H4/E4)^(1/3)-1)</f>
        <v>-0.29388369193651875</v>
      </c>
      <c r="I6" s="109">
        <f>((I4/F4)^(1/3)-1)</f>
        <v>0.17431300277396122</v>
      </c>
      <c r="J6" s="109">
        <f>((J4/G4)^(1/3)-1)</f>
        <v>0.14082991416946067</v>
      </c>
      <c r="K6" s="109"/>
      <c r="L6" s="45"/>
      <c r="M6" s="119" t="s">
        <v>4</v>
      </c>
      <c r="N6" s="120"/>
      <c r="O6" s="95">
        <f t="shared" ref="O6:P6" si="1">SUM(O4:O5)</f>
        <v>671.1</v>
      </c>
      <c r="P6" s="95">
        <f t="shared" si="1"/>
        <v>827.30000000000007</v>
      </c>
      <c r="Q6" s="95">
        <f t="shared" ref="Q6:U6" si="2">SUM(Q4:Q5)</f>
        <v>869.80000000000007</v>
      </c>
      <c r="R6" s="95">
        <f t="shared" si="2"/>
        <v>2761.5</v>
      </c>
      <c r="S6" s="95">
        <f t="shared" si="2"/>
        <v>3206.5</v>
      </c>
      <c r="T6" s="95">
        <f t="shared" si="2"/>
        <v>3306.5</v>
      </c>
      <c r="U6" s="95">
        <f t="shared" si="2"/>
        <v>3543.5</v>
      </c>
      <c r="V6" s="95">
        <f>SUM(V4:V5)</f>
        <v>4661.53</v>
      </c>
      <c r="W6" s="120">
        <f>SUM(W4:W5)</f>
        <v>4893.03</v>
      </c>
    </row>
    <row r="7" spans="1:24">
      <c r="A7" s="66" t="s">
        <v>35</v>
      </c>
      <c r="B7" s="60"/>
      <c r="C7" s="60"/>
      <c r="D7" s="60"/>
      <c r="E7" s="61"/>
      <c r="F7" s="61"/>
      <c r="G7" s="61"/>
      <c r="H7" s="61"/>
      <c r="I7" s="61"/>
      <c r="J7" s="61"/>
      <c r="K7" s="61"/>
      <c r="L7" s="46"/>
      <c r="M7" s="59" t="s">
        <v>145</v>
      </c>
      <c r="N7" s="60"/>
      <c r="O7" s="61">
        <v>-7.3</v>
      </c>
      <c r="P7" s="61">
        <v>-5.4</v>
      </c>
      <c r="Q7" s="61">
        <v>0</v>
      </c>
      <c r="R7" s="61">
        <v>0</v>
      </c>
      <c r="S7" s="61">
        <v>0</v>
      </c>
      <c r="T7" s="61">
        <v>0</v>
      </c>
      <c r="U7" s="61">
        <v>0</v>
      </c>
      <c r="V7" s="85"/>
      <c r="W7" s="85"/>
    </row>
    <row r="8" spans="1:24">
      <c r="A8" s="67" t="s">
        <v>36</v>
      </c>
      <c r="B8" s="60"/>
      <c r="C8" s="61">
        <v>1029.0999999999999</v>
      </c>
      <c r="D8" s="61">
        <v>1072.4000000000001</v>
      </c>
      <c r="E8" s="61">
        <v>674</v>
      </c>
      <c r="F8" s="97">
        <v>3074</v>
      </c>
      <c r="G8" s="97">
        <v>3462</v>
      </c>
      <c r="H8" s="97">
        <v>4879</v>
      </c>
      <c r="I8" s="97">
        <v>5749</v>
      </c>
      <c r="J8" s="123">
        <v>5486.35</v>
      </c>
      <c r="K8" s="123">
        <v>344.947</v>
      </c>
      <c r="L8" s="46"/>
      <c r="M8" s="59" t="s">
        <v>5</v>
      </c>
      <c r="N8" s="60"/>
      <c r="O8" s="61">
        <f>18.8</f>
        <v>18.8</v>
      </c>
      <c r="P8" s="61">
        <v>0</v>
      </c>
      <c r="Q8" s="61">
        <f>0</f>
        <v>0</v>
      </c>
      <c r="R8" s="97">
        <v>3003</v>
      </c>
      <c r="S8" s="97">
        <v>3314</v>
      </c>
      <c r="T8" s="97">
        <v>2992</v>
      </c>
      <c r="U8" s="97">
        <v>2196</v>
      </c>
      <c r="V8" s="127">
        <v>530.29999999999995</v>
      </c>
      <c r="W8" s="85">
        <v>399.76</v>
      </c>
    </row>
    <row r="9" spans="1:24">
      <c r="A9" s="67" t="s">
        <v>133</v>
      </c>
      <c r="B9" s="71"/>
      <c r="C9" s="72">
        <v>24116.3</v>
      </c>
      <c r="D9" s="72">
        <v>42768.2</v>
      </c>
      <c r="E9" s="72">
        <v>20961.7</v>
      </c>
      <c r="F9" s="99">
        <v>252</v>
      </c>
      <c r="G9" s="99">
        <v>187</v>
      </c>
      <c r="H9" s="100">
        <v>222</v>
      </c>
      <c r="I9" s="100">
        <v>169</v>
      </c>
      <c r="J9" s="129">
        <v>210.2</v>
      </c>
      <c r="K9" s="129">
        <v>11.333</v>
      </c>
      <c r="L9" s="47"/>
      <c r="M9" s="59" t="s">
        <v>6</v>
      </c>
      <c r="N9" s="60"/>
      <c r="O9" s="61">
        <v>205.7</v>
      </c>
      <c r="P9" s="61">
        <v>32.9</v>
      </c>
      <c r="Q9" s="61">
        <f>0</f>
        <v>0</v>
      </c>
      <c r="R9" s="97">
        <v>2</v>
      </c>
      <c r="S9" s="97">
        <v>406</v>
      </c>
      <c r="T9" s="97">
        <v>1447</v>
      </c>
      <c r="U9" s="97">
        <f>U44</f>
        <v>2136</v>
      </c>
      <c r="V9" s="127">
        <v>1415.73</v>
      </c>
      <c r="W9" s="85">
        <v>991.36</v>
      </c>
    </row>
    <row r="10" spans="1:24">
      <c r="A10" s="67" t="s">
        <v>50</v>
      </c>
      <c r="B10" s="71"/>
      <c r="C10" s="72">
        <v>-1091.4000000000001</v>
      </c>
      <c r="D10" s="72">
        <v>-3299.5</v>
      </c>
      <c r="E10" s="72">
        <v>4577.3999999999996</v>
      </c>
      <c r="F10" s="99">
        <v>45</v>
      </c>
      <c r="G10" s="99">
        <v>22</v>
      </c>
      <c r="H10" s="99">
        <v>-282</v>
      </c>
      <c r="I10" s="99">
        <v>75</v>
      </c>
      <c r="J10" s="130">
        <v>-3.64</v>
      </c>
      <c r="K10" s="130">
        <v>-0.90400000000000003</v>
      </c>
      <c r="L10" s="48"/>
      <c r="M10" s="119" t="s">
        <v>147</v>
      </c>
      <c r="N10" s="120"/>
      <c r="O10" s="95">
        <f t="shared" ref="O10:P10" si="3">SUM(O8:O9)</f>
        <v>224.5</v>
      </c>
      <c r="P10" s="95">
        <f t="shared" si="3"/>
        <v>32.9</v>
      </c>
      <c r="Q10" s="95">
        <f t="shared" ref="Q10:U10" si="4">SUM(Q8:Q9)</f>
        <v>0</v>
      </c>
      <c r="R10" s="95">
        <f t="shared" si="4"/>
        <v>3005</v>
      </c>
      <c r="S10" s="95">
        <f t="shared" si="4"/>
        <v>3720</v>
      </c>
      <c r="T10" s="95">
        <f t="shared" si="4"/>
        <v>4439</v>
      </c>
      <c r="U10" s="95">
        <f t="shared" si="4"/>
        <v>4332</v>
      </c>
      <c r="V10" s="95">
        <f>SUM(V8:V9)</f>
        <v>1946.03</v>
      </c>
      <c r="W10" s="95">
        <f>SUM(W8:W9)</f>
        <v>1391.12</v>
      </c>
    </row>
    <row r="11" spans="1:24">
      <c r="A11" s="67" t="s">
        <v>37</v>
      </c>
      <c r="B11" s="71"/>
      <c r="C11" s="72">
        <v>324.5</v>
      </c>
      <c r="D11" s="72">
        <v>331.1</v>
      </c>
      <c r="E11" s="72">
        <v>361</v>
      </c>
      <c r="F11" s="99">
        <v>1770</v>
      </c>
      <c r="G11" s="99">
        <v>1599</v>
      </c>
      <c r="H11" s="99">
        <v>2151</v>
      </c>
      <c r="I11" s="99">
        <v>2184</v>
      </c>
      <c r="J11" s="130">
        <v>1967.1</v>
      </c>
      <c r="K11" s="130">
        <v>128.86600000000001</v>
      </c>
      <c r="L11" s="47"/>
      <c r="M11" s="62"/>
      <c r="N11" s="63"/>
      <c r="O11" s="64"/>
      <c r="P11" s="64"/>
      <c r="Q11" s="64"/>
      <c r="R11" s="64"/>
      <c r="S11" s="61"/>
      <c r="T11" s="61"/>
      <c r="U11" s="61"/>
      <c r="V11" s="85"/>
      <c r="W11" s="85"/>
    </row>
    <row r="12" spans="1:24">
      <c r="A12" s="67" t="s">
        <v>38</v>
      </c>
      <c r="B12" s="60"/>
      <c r="C12" s="61">
        <f>727.9+39.9</f>
        <v>767.8</v>
      </c>
      <c r="D12" s="61">
        <f>704.3+14.4</f>
        <v>718.69999999999993</v>
      </c>
      <c r="E12" s="61">
        <v>812.7</v>
      </c>
      <c r="F12" s="97">
        <v>1242</v>
      </c>
      <c r="G12" s="97">
        <v>1286</v>
      </c>
      <c r="H12" s="97">
        <v>1919</v>
      </c>
      <c r="I12" s="97">
        <v>2102</v>
      </c>
      <c r="J12" s="123">
        <v>1909.66</v>
      </c>
      <c r="K12" s="123">
        <v>125.172</v>
      </c>
      <c r="L12" s="46"/>
      <c r="M12" s="119" t="s">
        <v>140</v>
      </c>
      <c r="N12" s="120"/>
      <c r="O12" s="95">
        <f>O6+O7+O8+O60</f>
        <v>710.9</v>
      </c>
      <c r="P12" s="95">
        <f>P6+P7+P8+P60</f>
        <v>855.00000000000011</v>
      </c>
      <c r="Q12" s="95">
        <f>Q6+Q7+Q8+Q60</f>
        <v>908.80000000000007</v>
      </c>
      <c r="R12" s="95">
        <f t="shared" ref="R12:W12" si="5">R6+R7+R60</f>
        <v>5940.5</v>
      </c>
      <c r="S12" s="95">
        <f t="shared" si="5"/>
        <v>6611.5</v>
      </c>
      <c r="T12" s="95">
        <f t="shared" si="5"/>
        <v>6602.5</v>
      </c>
      <c r="U12" s="95">
        <f t="shared" si="5"/>
        <v>6018.5</v>
      </c>
      <c r="V12" s="95">
        <f t="shared" si="5"/>
        <v>6147.04</v>
      </c>
      <c r="W12" s="95">
        <f t="shared" si="5"/>
        <v>6446.4699999999993</v>
      </c>
    </row>
    <row r="13" spans="1:24">
      <c r="A13" s="119" t="s">
        <v>39</v>
      </c>
      <c r="B13" s="120"/>
      <c r="C13" s="95">
        <f t="shared" ref="C13:J13" si="6">C4-SUM(C8:C12)</f>
        <v>125.60000000000582</v>
      </c>
      <c r="D13" s="95">
        <f t="shared" si="6"/>
        <v>233.30000000000291</v>
      </c>
      <c r="E13" s="95">
        <f t="shared" si="6"/>
        <v>181.60000000000218</v>
      </c>
      <c r="F13" s="95">
        <f t="shared" si="6"/>
        <v>837</v>
      </c>
      <c r="G13" s="95">
        <f t="shared" si="6"/>
        <v>899</v>
      </c>
      <c r="H13" s="95">
        <f t="shared" si="6"/>
        <v>817</v>
      </c>
      <c r="I13" s="95">
        <f t="shared" si="6"/>
        <v>1413</v>
      </c>
      <c r="J13" s="95">
        <f t="shared" si="6"/>
        <v>1499.3799999999992</v>
      </c>
      <c r="K13" s="95">
        <f>K4-SUM(K8:K12)</f>
        <v>102.66999999999985</v>
      </c>
      <c r="L13" s="49"/>
      <c r="M13" s="119" t="s">
        <v>140</v>
      </c>
      <c r="N13" s="120"/>
      <c r="O13" s="95">
        <f>O62-O52-O9</f>
        <v>710.90000000000032</v>
      </c>
      <c r="P13" s="95">
        <f>P62-P52-P9</f>
        <v>854.99999999999966</v>
      </c>
      <c r="Q13" s="95">
        <f>Q62-Q52-Q9</f>
        <v>908.8</v>
      </c>
      <c r="R13" s="95">
        <f t="shared" ref="R13:V13" si="7">R62-R52</f>
        <v>5940.5</v>
      </c>
      <c r="S13" s="95">
        <f t="shared" si="7"/>
        <v>6611.5</v>
      </c>
      <c r="T13" s="95">
        <f t="shared" si="7"/>
        <v>6602.5</v>
      </c>
      <c r="U13" s="95">
        <f t="shared" si="7"/>
        <v>6018.5</v>
      </c>
      <c r="V13" s="95">
        <f t="shared" si="7"/>
        <v>6147.04</v>
      </c>
      <c r="W13" s="95">
        <f>W62-W52</f>
        <v>6446.4699999999993</v>
      </c>
    </row>
    <row r="14" spans="1:24">
      <c r="A14" s="111" t="s">
        <v>40</v>
      </c>
      <c r="B14" s="112"/>
      <c r="C14" s="112">
        <f t="shared" ref="C14:J14" si="8">C13/C4</f>
        <v>4.9699468579729187E-3</v>
      </c>
      <c r="D14" s="112">
        <f t="shared" si="8"/>
        <v>5.5781102806509849E-3</v>
      </c>
      <c r="E14" s="112">
        <f t="shared" si="8"/>
        <v>6.5872520712120458E-3</v>
      </c>
      <c r="F14" s="112">
        <f t="shared" si="8"/>
        <v>0.11592797783933519</v>
      </c>
      <c r="G14" s="112">
        <f t="shared" si="8"/>
        <v>0.12059020791415158</v>
      </c>
      <c r="H14" s="112">
        <f t="shared" si="8"/>
        <v>8.4174737275911807E-2</v>
      </c>
      <c r="I14" s="112">
        <f t="shared" si="8"/>
        <v>0.1208518645227506</v>
      </c>
      <c r="J14" s="112">
        <f t="shared" si="8"/>
        <v>0.13545697236890242</v>
      </c>
      <c r="K14" s="112">
        <f>K13/K4</f>
        <v>0.14418242791580749</v>
      </c>
      <c r="L14" s="50"/>
      <c r="M14" s="59"/>
      <c r="N14" s="60"/>
      <c r="O14" s="61"/>
      <c r="P14" s="61"/>
      <c r="Q14" s="61"/>
      <c r="R14" s="61"/>
      <c r="S14" s="61"/>
      <c r="T14" s="61"/>
      <c r="U14" s="61"/>
      <c r="V14" s="85"/>
      <c r="W14" s="85"/>
    </row>
    <row r="15" spans="1:24">
      <c r="A15" s="111" t="s">
        <v>33</v>
      </c>
      <c r="B15" s="112"/>
      <c r="C15" s="112"/>
      <c r="D15" s="112">
        <f t="shared" ref="D15" si="9">D14/C14-1</f>
        <v>0.12236819428007251</v>
      </c>
      <c r="E15" s="112">
        <f t="shared" ref="E15" si="10">E14/D14-1</f>
        <v>0.18091105047914025</v>
      </c>
      <c r="F15" s="109">
        <f>F13/E13-1</f>
        <v>3.60903083700435</v>
      </c>
      <c r="G15" s="109">
        <f>G13/F13-1</f>
        <v>7.4074074074074181E-2</v>
      </c>
      <c r="H15" s="109">
        <f>H13/G13-1</f>
        <v>-9.1212458286985543E-2</v>
      </c>
      <c r="I15" s="109">
        <f>I13/H13-1</f>
        <v>0.72949816401468781</v>
      </c>
      <c r="J15" s="110" t="s">
        <v>151</v>
      </c>
      <c r="K15" s="110"/>
      <c r="L15" s="45"/>
      <c r="M15" s="88" t="s">
        <v>7</v>
      </c>
      <c r="N15" s="89"/>
      <c r="O15" s="90"/>
      <c r="P15" s="90"/>
      <c r="Q15" s="90"/>
      <c r="R15" s="90"/>
      <c r="S15" s="90"/>
      <c r="T15" s="90"/>
      <c r="U15" s="90"/>
      <c r="V15" s="90"/>
      <c r="W15" s="85"/>
      <c r="X15" s="94">
        <f>V63-V52</f>
        <v>6147.0399999999981</v>
      </c>
    </row>
    <row r="16" spans="1:24">
      <c r="A16" s="111" t="s">
        <v>34</v>
      </c>
      <c r="B16" s="115"/>
      <c r="C16" s="116"/>
      <c r="D16" s="116"/>
      <c r="E16" s="112"/>
      <c r="F16" s="109">
        <f>((F13/C13)^(1/3)-1)</f>
        <v>0.88182228044552313</v>
      </c>
      <c r="G16" s="109">
        <f>((G13/D13)^(1/3)-1)</f>
        <v>0.56776747743777967</v>
      </c>
      <c r="H16" s="109">
        <f>((H13/E13)^(1/3)-1)</f>
        <v>0.6508289288748359</v>
      </c>
      <c r="I16" s="109">
        <f>((I13/F13)^(1/3)-1)</f>
        <v>0.19070881270895534</v>
      </c>
      <c r="J16" s="110" t="s">
        <v>151</v>
      </c>
      <c r="K16" s="110"/>
      <c r="L16" s="45"/>
      <c r="M16" s="65" t="s">
        <v>8</v>
      </c>
      <c r="N16" s="60"/>
      <c r="O16" s="61"/>
      <c r="P16" s="61"/>
      <c r="Q16" s="61"/>
      <c r="R16" s="61"/>
      <c r="S16" s="61"/>
      <c r="T16" s="61"/>
      <c r="U16" s="61"/>
      <c r="V16" s="85"/>
      <c r="W16" s="85"/>
    </row>
    <row r="17" spans="1:25">
      <c r="A17" s="59" t="s">
        <v>41</v>
      </c>
      <c r="B17" s="60"/>
      <c r="C17" s="61">
        <v>30.8</v>
      </c>
      <c r="D17" s="61">
        <v>22.1</v>
      </c>
      <c r="E17" s="61">
        <v>37.299999999999997</v>
      </c>
      <c r="F17" s="97">
        <v>114</v>
      </c>
      <c r="G17" s="97">
        <v>105</v>
      </c>
      <c r="H17" s="97">
        <v>79</v>
      </c>
      <c r="I17" s="97">
        <v>79</v>
      </c>
      <c r="J17" s="123">
        <v>99.3</v>
      </c>
      <c r="K17" s="123">
        <v>7.4180000000000001</v>
      </c>
      <c r="L17" s="46"/>
      <c r="M17" s="59" t="s">
        <v>9</v>
      </c>
      <c r="N17" s="60"/>
      <c r="O17" s="61">
        <v>137.80000000000001</v>
      </c>
      <c r="P17" s="61">
        <v>99.3</v>
      </c>
      <c r="Q17" s="61">
        <v>110.8</v>
      </c>
      <c r="R17" s="97">
        <v>3244</v>
      </c>
      <c r="S17" s="97">
        <v>3236</v>
      </c>
      <c r="T17" s="97">
        <v>3870</v>
      </c>
      <c r="U17" s="97">
        <v>3853</v>
      </c>
      <c r="V17" s="59">
        <v>3416.67</v>
      </c>
      <c r="W17" s="85">
        <v>3309.55</v>
      </c>
    </row>
    <row r="18" spans="1:25">
      <c r="A18" s="59" t="s">
        <v>42</v>
      </c>
      <c r="B18" s="60"/>
      <c r="C18" s="61">
        <v>60.6</v>
      </c>
      <c r="D18" s="61">
        <v>46.1</v>
      </c>
      <c r="E18" s="61">
        <v>36.799999999999997</v>
      </c>
      <c r="F18" s="97">
        <v>430</v>
      </c>
      <c r="G18" s="97">
        <v>431</v>
      </c>
      <c r="H18" s="97">
        <v>523</v>
      </c>
      <c r="I18" s="97">
        <v>821</v>
      </c>
      <c r="J18" s="123">
        <v>611.73</v>
      </c>
      <c r="K18" s="123">
        <v>47.536000000000001</v>
      </c>
      <c r="L18" s="46"/>
      <c r="M18" s="59" t="s">
        <v>10</v>
      </c>
      <c r="N18" s="60"/>
      <c r="O18" s="61">
        <v>0</v>
      </c>
      <c r="P18" s="61">
        <v>1.1000000000000001</v>
      </c>
      <c r="Q18" s="61">
        <v>0</v>
      </c>
      <c r="R18" s="97">
        <v>339</v>
      </c>
      <c r="S18" s="97">
        <v>711</v>
      </c>
      <c r="T18" s="97">
        <v>382</v>
      </c>
      <c r="U18" s="97">
        <v>132</v>
      </c>
      <c r="V18" s="59">
        <v>36.72</v>
      </c>
      <c r="W18" s="85">
        <v>24.06</v>
      </c>
    </row>
    <row r="19" spans="1:25">
      <c r="A19" s="59" t="s">
        <v>51</v>
      </c>
      <c r="B19" s="60"/>
      <c r="C19" s="61">
        <v>28.1</v>
      </c>
      <c r="D19" s="61">
        <v>14.2</v>
      </c>
      <c r="E19" s="61">
        <f>1.5+2.6</f>
        <v>4.0999999999999996</v>
      </c>
      <c r="F19" s="97">
        <v>331</v>
      </c>
      <c r="G19" s="97">
        <v>233</v>
      </c>
      <c r="H19" s="97">
        <v>264</v>
      </c>
      <c r="I19" s="97">
        <v>332</v>
      </c>
      <c r="J19" s="123">
        <v>377.7</v>
      </c>
      <c r="K19" s="123">
        <v>17.030999999999999</v>
      </c>
      <c r="L19" s="46"/>
      <c r="M19" s="59" t="s">
        <v>134</v>
      </c>
      <c r="N19" s="60"/>
      <c r="O19" s="61">
        <v>0</v>
      </c>
      <c r="P19" s="61">
        <v>0</v>
      </c>
      <c r="Q19" s="61">
        <v>0</v>
      </c>
      <c r="R19" s="97">
        <v>108</v>
      </c>
      <c r="S19" s="97">
        <v>303</v>
      </c>
      <c r="T19" s="97">
        <v>271</v>
      </c>
      <c r="U19" s="97">
        <v>263</v>
      </c>
      <c r="V19" s="59">
        <v>408.58</v>
      </c>
      <c r="W19" s="85">
        <v>593.29</v>
      </c>
    </row>
    <row r="20" spans="1:25">
      <c r="A20" s="59" t="s">
        <v>137</v>
      </c>
      <c r="B20" s="60"/>
      <c r="C20" s="61">
        <v>0</v>
      </c>
      <c r="D20" s="61">
        <v>36.9</v>
      </c>
      <c r="E20" s="61">
        <v>-35.799999999999997</v>
      </c>
      <c r="F20" s="97">
        <v>0</v>
      </c>
      <c r="G20" s="97">
        <v>0</v>
      </c>
      <c r="H20" s="97">
        <v>0</v>
      </c>
      <c r="I20" s="97">
        <v>0</v>
      </c>
      <c r="J20" s="123">
        <v>770.06</v>
      </c>
      <c r="K20" s="123">
        <v>0</v>
      </c>
      <c r="L20" s="46"/>
      <c r="M20" s="59" t="s">
        <v>144</v>
      </c>
      <c r="N20" s="59"/>
      <c r="O20" s="61">
        <v>19.399999999999999</v>
      </c>
      <c r="P20" s="61">
        <v>19.399999999999999</v>
      </c>
      <c r="Q20" s="61">
        <v>0</v>
      </c>
      <c r="R20" s="97">
        <v>492</v>
      </c>
      <c r="S20" s="97">
        <v>534</v>
      </c>
      <c r="T20" s="97">
        <v>557</v>
      </c>
      <c r="U20" s="100">
        <v>314</v>
      </c>
      <c r="V20" s="59">
        <v>319.97000000000003</v>
      </c>
      <c r="W20" s="85">
        <v>326.47000000000003</v>
      </c>
    </row>
    <row r="21" spans="1:25">
      <c r="A21" s="119" t="s">
        <v>43</v>
      </c>
      <c r="B21" s="120"/>
      <c r="C21" s="95">
        <f t="shared" ref="C21:G21" si="11">C13+C17+C20-SUM(C18:C19)</f>
        <v>67.700000000005829</v>
      </c>
      <c r="D21" s="95">
        <f t="shared" si="11"/>
        <v>232.0000000000029</v>
      </c>
      <c r="E21" s="95">
        <f t="shared" si="11"/>
        <v>142.20000000000218</v>
      </c>
      <c r="F21" s="95">
        <f t="shared" si="11"/>
        <v>190</v>
      </c>
      <c r="G21" s="95">
        <f t="shared" si="11"/>
        <v>340</v>
      </c>
      <c r="H21" s="95">
        <f>H13+H17+H20-SUM(H18:H19)</f>
        <v>109</v>
      </c>
      <c r="I21" s="95">
        <v>339</v>
      </c>
      <c r="J21" s="95">
        <f>J13+J17+J20-SUM(J18:J19)</f>
        <v>1379.3099999999988</v>
      </c>
      <c r="K21" s="154">
        <f>K13+K17+K20-SUM(K18:K19)</f>
        <v>45.520999999999844</v>
      </c>
      <c r="L21" s="46"/>
      <c r="M21" s="59" t="s">
        <v>135</v>
      </c>
      <c r="N21" s="60"/>
      <c r="O21" s="61">
        <v>192.6</v>
      </c>
      <c r="P21" s="61">
        <v>188.1</v>
      </c>
      <c r="Q21" s="61">
        <f>186.8+5.5</f>
        <v>192.3</v>
      </c>
      <c r="R21" s="97">
        <v>614</v>
      </c>
      <c r="S21" s="97">
        <v>610</v>
      </c>
      <c r="T21" s="97">
        <v>581</v>
      </c>
      <c r="U21" s="97">
        <v>526</v>
      </c>
      <c r="V21" s="59">
        <v>478.58</v>
      </c>
      <c r="W21" s="85">
        <v>456.98</v>
      </c>
    </row>
    <row r="22" spans="1:25">
      <c r="A22" s="59" t="s">
        <v>44</v>
      </c>
      <c r="B22" s="60"/>
      <c r="C22" s="61">
        <v>24</v>
      </c>
      <c r="D22" s="61">
        <v>82</v>
      </c>
      <c r="E22" s="61">
        <v>67.8</v>
      </c>
      <c r="F22" s="97">
        <v>107</v>
      </c>
      <c r="G22" s="97">
        <v>52</v>
      </c>
      <c r="H22" s="97">
        <v>120</v>
      </c>
      <c r="I22" s="97">
        <v>108</v>
      </c>
      <c r="J22" s="123">
        <v>236.78</v>
      </c>
      <c r="K22" s="123">
        <v>14.874000000000001</v>
      </c>
      <c r="L22" s="46"/>
      <c r="M22" s="66" t="s">
        <v>11</v>
      </c>
      <c r="N22" s="138"/>
      <c r="O22" s="61"/>
      <c r="P22" s="61"/>
      <c r="Q22" s="61"/>
      <c r="R22" s="97"/>
      <c r="S22" s="97"/>
      <c r="T22" s="97"/>
      <c r="U22" s="97"/>
      <c r="V22" s="59"/>
      <c r="W22" s="85"/>
    </row>
    <row r="23" spans="1:25">
      <c r="A23" s="111" t="s">
        <v>45</v>
      </c>
      <c r="B23" s="112"/>
      <c r="C23" s="112">
        <f t="shared" ref="C23:E23" si="12">C22/C21</f>
        <v>0.35450516986703001</v>
      </c>
      <c r="D23" s="112">
        <f t="shared" si="12"/>
        <v>0.35344827586206456</v>
      </c>
      <c r="E23" s="112">
        <f t="shared" si="12"/>
        <v>0.47679324894514036</v>
      </c>
      <c r="F23" s="112">
        <f t="shared" ref="F23:J23" si="13">F22/F21</f>
        <v>0.56315789473684208</v>
      </c>
      <c r="G23" s="112">
        <f t="shared" si="13"/>
        <v>0.15294117647058825</v>
      </c>
      <c r="H23" s="112">
        <f t="shared" si="13"/>
        <v>1.1009174311926606</v>
      </c>
      <c r="I23" s="112">
        <f t="shared" si="13"/>
        <v>0.31858407079646017</v>
      </c>
      <c r="J23" s="112">
        <f t="shared" si="13"/>
        <v>0.17166554291638589</v>
      </c>
      <c r="K23" s="112">
        <f>K22/K21</f>
        <v>0.32675029107445031</v>
      </c>
      <c r="L23" s="51"/>
      <c r="M23" s="86" t="s">
        <v>17</v>
      </c>
      <c r="N23" s="139"/>
      <c r="O23" s="61">
        <v>46.7</v>
      </c>
      <c r="P23" s="61">
        <v>14.5</v>
      </c>
      <c r="Q23" s="61">
        <v>5.7</v>
      </c>
      <c r="R23" s="97">
        <v>83</v>
      </c>
      <c r="S23" s="106">
        <v>95</v>
      </c>
      <c r="T23" s="106">
        <v>122</v>
      </c>
      <c r="U23" s="106">
        <v>122</v>
      </c>
      <c r="V23" s="59">
        <v>122.54</v>
      </c>
      <c r="W23" s="85">
        <v>122.61</v>
      </c>
      <c r="Y23" s="94">
        <f>(W17-V17)+K18</f>
        <v>-59.583999999999889</v>
      </c>
    </row>
    <row r="24" spans="1:25">
      <c r="A24" s="69"/>
      <c r="B24" s="70"/>
      <c r="C24" s="70"/>
      <c r="D24" s="70"/>
      <c r="E24" s="70"/>
      <c r="F24" s="70"/>
      <c r="G24" s="70"/>
      <c r="H24" s="70"/>
      <c r="I24" s="70"/>
      <c r="J24" s="70"/>
      <c r="K24" s="70"/>
      <c r="L24" s="52"/>
      <c r="M24" s="85" t="s">
        <v>153</v>
      </c>
      <c r="O24" s="85"/>
      <c r="P24" s="85"/>
      <c r="Q24" s="85"/>
      <c r="R24" s="85">
        <v>45</v>
      </c>
      <c r="S24" s="85">
        <v>40</v>
      </c>
      <c r="T24" s="85">
        <v>3</v>
      </c>
      <c r="U24" s="85">
        <v>0.87</v>
      </c>
      <c r="V24" s="59">
        <v>0.67</v>
      </c>
      <c r="W24" s="85">
        <v>0.32</v>
      </c>
    </row>
    <row r="25" spans="1:25">
      <c r="A25" s="119" t="s">
        <v>86</v>
      </c>
      <c r="B25" s="120"/>
      <c r="C25" s="95">
        <f t="shared" ref="C25:J25" si="14">C21-C22</f>
        <v>43.700000000005829</v>
      </c>
      <c r="D25" s="95">
        <f t="shared" si="14"/>
        <v>150.0000000000029</v>
      </c>
      <c r="E25" s="95">
        <f t="shared" si="14"/>
        <v>74.40000000000218</v>
      </c>
      <c r="F25" s="95">
        <f t="shared" si="14"/>
        <v>83</v>
      </c>
      <c r="G25" s="95">
        <f t="shared" si="14"/>
        <v>288</v>
      </c>
      <c r="H25" s="95">
        <f t="shared" si="14"/>
        <v>-11</v>
      </c>
      <c r="I25" s="95">
        <f t="shared" si="14"/>
        <v>231</v>
      </c>
      <c r="J25" s="95">
        <f t="shared" si="14"/>
        <v>1142.5299999999988</v>
      </c>
      <c r="K25" s="154">
        <f>K21-K22</f>
        <v>30.646999999999842</v>
      </c>
      <c r="L25" s="53"/>
      <c r="M25" s="87" t="s">
        <v>12</v>
      </c>
      <c r="N25" s="140"/>
      <c r="O25" s="61">
        <v>19.5</v>
      </c>
      <c r="P25" s="61">
        <v>22</v>
      </c>
      <c r="Q25" s="61">
        <v>31</v>
      </c>
      <c r="R25" s="97">
        <v>0</v>
      </c>
      <c r="S25" s="107">
        <v>1</v>
      </c>
      <c r="T25" s="107">
        <v>38</v>
      </c>
      <c r="U25" s="107">
        <v>46</v>
      </c>
      <c r="V25" s="59">
        <v>86.95</v>
      </c>
      <c r="W25" s="85">
        <v>89.15</v>
      </c>
    </row>
    <row r="26" spans="1:25">
      <c r="A26" s="73" t="s">
        <v>87</v>
      </c>
      <c r="B26" s="74"/>
      <c r="C26" s="74">
        <v>0</v>
      </c>
      <c r="D26" s="74">
        <v>0</v>
      </c>
      <c r="E26" s="74">
        <v>0</v>
      </c>
      <c r="F26" s="74">
        <v>0</v>
      </c>
      <c r="G26" s="74">
        <v>0</v>
      </c>
      <c r="H26" s="75">
        <v>0</v>
      </c>
      <c r="I26" s="75">
        <v>0</v>
      </c>
      <c r="J26" s="75">
        <v>0</v>
      </c>
      <c r="K26" s="75">
        <v>0</v>
      </c>
      <c r="L26" s="53"/>
      <c r="M26" s="59" t="s">
        <v>139</v>
      </c>
      <c r="N26" s="138"/>
      <c r="O26" s="61">
        <v>43.2</v>
      </c>
      <c r="P26" s="61">
        <v>16.899999999999999</v>
      </c>
      <c r="Q26" s="61">
        <v>0</v>
      </c>
      <c r="R26" s="97">
        <v>0</v>
      </c>
      <c r="S26" s="97">
        <v>0</v>
      </c>
      <c r="T26" s="97">
        <v>0</v>
      </c>
      <c r="U26" s="97">
        <v>83</v>
      </c>
      <c r="V26" s="128" t="s">
        <v>150</v>
      </c>
      <c r="W26" s="128" t="s">
        <v>150</v>
      </c>
    </row>
    <row r="27" spans="1:25">
      <c r="A27" s="59" t="s">
        <v>44</v>
      </c>
      <c r="B27" s="60"/>
      <c r="C27" s="60">
        <v>0</v>
      </c>
      <c r="D27" s="60">
        <v>0</v>
      </c>
      <c r="E27" s="60">
        <v>0</v>
      </c>
      <c r="F27" s="60">
        <v>0</v>
      </c>
      <c r="G27" s="60">
        <v>0</v>
      </c>
      <c r="H27" s="76">
        <v>0</v>
      </c>
      <c r="I27" s="76">
        <v>0</v>
      </c>
      <c r="J27" s="76">
        <v>0</v>
      </c>
      <c r="K27" s="76">
        <v>0</v>
      </c>
      <c r="L27" s="51"/>
      <c r="M27" s="59" t="s">
        <v>13</v>
      </c>
      <c r="N27" s="60"/>
      <c r="O27" s="61">
        <v>279.8</v>
      </c>
      <c r="P27" s="61">
        <v>267</v>
      </c>
      <c r="Q27" s="61">
        <v>261.7</v>
      </c>
      <c r="R27" s="97">
        <v>172</v>
      </c>
      <c r="S27" s="97">
        <v>164</v>
      </c>
      <c r="T27" s="97">
        <v>99</v>
      </c>
      <c r="U27" s="97">
        <v>50</v>
      </c>
      <c r="V27" s="59">
        <v>54.7</v>
      </c>
      <c r="W27" s="85">
        <v>36.49</v>
      </c>
    </row>
    <row r="28" spans="1:25">
      <c r="A28" s="88" t="s">
        <v>88</v>
      </c>
      <c r="B28" s="89"/>
      <c r="C28" s="89">
        <f t="shared" ref="C28:G28" si="15">C26-C27</f>
        <v>0</v>
      </c>
      <c r="D28" s="89">
        <f t="shared" si="15"/>
        <v>0</v>
      </c>
      <c r="E28" s="89">
        <f t="shared" si="15"/>
        <v>0</v>
      </c>
      <c r="F28" s="89">
        <f t="shared" si="15"/>
        <v>0</v>
      </c>
      <c r="G28" s="89">
        <f t="shared" si="15"/>
        <v>0</v>
      </c>
      <c r="H28" s="89">
        <f>H26-H27</f>
        <v>0</v>
      </c>
      <c r="I28" s="89">
        <f>I26-I27</f>
        <v>0</v>
      </c>
      <c r="J28" s="89">
        <f>J26-J27</f>
        <v>0</v>
      </c>
      <c r="K28" s="89">
        <f>K26-K27</f>
        <v>0</v>
      </c>
      <c r="L28" s="54"/>
      <c r="M28" s="121" t="s">
        <v>8</v>
      </c>
      <c r="N28" s="120"/>
      <c r="O28" s="95">
        <f t="shared" ref="O28:V28" si="16">SUM(O17:O27)</f>
        <v>739</v>
      </c>
      <c r="P28" s="95">
        <f t="shared" si="16"/>
        <v>628.29999999999995</v>
      </c>
      <c r="Q28" s="95">
        <f t="shared" si="16"/>
        <v>601.5</v>
      </c>
      <c r="R28" s="95">
        <f t="shared" si="16"/>
        <v>5097</v>
      </c>
      <c r="S28" s="95">
        <f t="shared" si="16"/>
        <v>5694</v>
      </c>
      <c r="T28" s="95">
        <f t="shared" si="16"/>
        <v>5923</v>
      </c>
      <c r="U28" s="95">
        <f t="shared" si="16"/>
        <v>5389.87</v>
      </c>
      <c r="V28" s="120">
        <f t="shared" si="16"/>
        <v>4925.3799999999992</v>
      </c>
      <c r="W28" s="120">
        <f>SUM(W17:W27)</f>
        <v>4958.9199999999992</v>
      </c>
    </row>
    <row r="29" spans="1:25">
      <c r="A29" s="119" t="s">
        <v>89</v>
      </c>
      <c r="B29" s="120"/>
      <c r="C29" s="95">
        <f t="shared" ref="C29:E29" si="17">C25+C28</f>
        <v>43.700000000005829</v>
      </c>
      <c r="D29" s="95">
        <f t="shared" si="17"/>
        <v>150.0000000000029</v>
      </c>
      <c r="E29" s="95">
        <f t="shared" si="17"/>
        <v>74.40000000000218</v>
      </c>
      <c r="F29" s="95">
        <f t="shared" ref="F29:K29" si="18">F25+F28</f>
        <v>83</v>
      </c>
      <c r="G29" s="95">
        <f t="shared" si="18"/>
        <v>288</v>
      </c>
      <c r="H29" s="95">
        <f t="shared" si="18"/>
        <v>-11</v>
      </c>
      <c r="I29" s="95">
        <f t="shared" si="18"/>
        <v>231</v>
      </c>
      <c r="J29" s="95">
        <f t="shared" si="18"/>
        <v>1142.5299999999988</v>
      </c>
      <c r="K29" s="154">
        <f t="shared" si="18"/>
        <v>30.646999999999842</v>
      </c>
      <c r="L29" s="48"/>
      <c r="M29" s="59"/>
      <c r="N29" s="63"/>
      <c r="O29" s="64"/>
      <c r="P29" s="64"/>
      <c r="Q29" s="64"/>
      <c r="R29" s="64"/>
      <c r="S29" s="61"/>
      <c r="T29" s="61"/>
      <c r="U29" s="61"/>
      <c r="V29" s="85"/>
      <c r="W29" s="85"/>
    </row>
    <row r="30" spans="1:25">
      <c r="A30" s="111" t="s">
        <v>46</v>
      </c>
      <c r="B30" s="112"/>
      <c r="C30" s="117">
        <f t="shared" ref="C30:I30" si="19">C29/C4</f>
        <v>1.7291932937375436E-3</v>
      </c>
      <c r="D30" s="117">
        <f t="shared" si="19"/>
        <v>3.5864403861879703E-3</v>
      </c>
      <c r="E30" s="117">
        <f t="shared" si="19"/>
        <v>2.6987420379855987E-3</v>
      </c>
      <c r="F30" s="112">
        <f t="shared" si="19"/>
        <v>1.1495844875346261E-2</v>
      </c>
      <c r="G30" s="112">
        <f t="shared" si="19"/>
        <v>3.86317907444668E-2</v>
      </c>
      <c r="H30" s="112">
        <f t="shared" si="19"/>
        <v>-1.1333195961261075E-3</v>
      </c>
      <c r="I30" s="112">
        <f t="shared" si="19"/>
        <v>1.9757098871022921E-2</v>
      </c>
      <c r="J30" s="112">
        <f>J29/J4</f>
        <v>0.10321843337955822</v>
      </c>
      <c r="K30" s="112">
        <f>K29/K4</f>
        <v>4.3038461754511891E-2</v>
      </c>
      <c r="L30" s="51"/>
      <c r="M30" s="65" t="s">
        <v>14</v>
      </c>
      <c r="N30" s="60"/>
      <c r="O30" s="61"/>
      <c r="P30" s="61"/>
      <c r="Q30" s="61"/>
      <c r="R30" s="61"/>
      <c r="S30" s="61"/>
      <c r="T30" s="61"/>
      <c r="U30" s="61"/>
      <c r="V30" s="85"/>
      <c r="W30" s="85"/>
    </row>
    <row r="31" spans="1:25">
      <c r="A31" s="111" t="s">
        <v>33</v>
      </c>
      <c r="B31" s="112"/>
      <c r="C31" s="112"/>
      <c r="D31" s="112">
        <f t="shared" ref="D31" si="20">D30/C30-1</f>
        <v>1.0740540685512969</v>
      </c>
      <c r="E31" s="112">
        <f>E30/D30-1</f>
        <v>-0.24751515503256605</v>
      </c>
      <c r="F31" s="109">
        <f>F25/E25-1</f>
        <v>0.11559139784942962</v>
      </c>
      <c r="G31" s="109">
        <f>G25/F25-1</f>
        <v>2.4698795180722892</v>
      </c>
      <c r="H31" s="109">
        <f>H25/G25-1</f>
        <v>-1.0381944444444444</v>
      </c>
      <c r="I31" s="109">
        <f>I25/H25-1</f>
        <v>-22</v>
      </c>
      <c r="J31" s="109">
        <f>J25/I25-1</f>
        <v>3.9460173160173113</v>
      </c>
      <c r="K31" s="109"/>
      <c r="L31" s="51"/>
      <c r="M31" s="59" t="s">
        <v>15</v>
      </c>
      <c r="N31" s="60"/>
      <c r="O31" s="61">
        <v>1532.7</v>
      </c>
      <c r="P31" s="61">
        <v>4854</v>
      </c>
      <c r="Q31" s="61">
        <v>316.10000000000002</v>
      </c>
      <c r="R31" s="97">
        <v>852</v>
      </c>
      <c r="S31" s="97">
        <v>911</v>
      </c>
      <c r="T31" s="97">
        <v>1161</v>
      </c>
      <c r="U31" s="97">
        <v>1235</v>
      </c>
      <c r="V31" s="127">
        <v>1236.3399999999999</v>
      </c>
      <c r="W31" s="85">
        <v>1217.04</v>
      </c>
    </row>
    <row r="32" spans="1:25">
      <c r="A32" s="111" t="s">
        <v>34</v>
      </c>
      <c r="B32" s="113"/>
      <c r="C32" s="114"/>
      <c r="D32" s="114"/>
      <c r="E32" s="112"/>
      <c r="F32" s="109">
        <f>((F25/C25)^(1/3)-1)</f>
        <v>0.23841314120062762</v>
      </c>
      <c r="G32" s="109">
        <f>((G25/D25)^(1/3)-1)</f>
        <v>0.24289300238153544</v>
      </c>
      <c r="H32" s="109">
        <f>((H25/E25)^(1/3)-1)</f>
        <v>-1.5287778441483881</v>
      </c>
      <c r="I32" s="109">
        <f>((I25/F25)^(1/3)-1)</f>
        <v>0.40662380364771811</v>
      </c>
      <c r="J32" s="109">
        <f>((J25/G25)^(1/3)-1)</f>
        <v>0.58303934215295317</v>
      </c>
      <c r="K32" s="109"/>
      <c r="L32" s="50"/>
      <c r="M32" s="66" t="s">
        <v>11</v>
      </c>
      <c r="N32" s="60"/>
      <c r="O32" s="61"/>
      <c r="P32" s="61"/>
      <c r="Q32" s="61"/>
      <c r="R32" s="97"/>
      <c r="S32" s="97"/>
      <c r="T32" s="97"/>
      <c r="U32" s="97"/>
      <c r="V32" s="59"/>
      <c r="W32" s="85"/>
    </row>
    <row r="33" spans="1:23">
      <c r="A33" s="77"/>
      <c r="B33" s="78"/>
      <c r="C33" s="78"/>
      <c r="D33" s="78"/>
      <c r="E33" s="79"/>
      <c r="F33" s="79"/>
      <c r="G33" s="79"/>
      <c r="H33" s="79"/>
      <c r="I33" s="79"/>
      <c r="J33" s="79"/>
      <c r="K33" s="79"/>
      <c r="L33" s="50"/>
      <c r="M33" s="67" t="s">
        <v>16</v>
      </c>
      <c r="N33" s="60"/>
      <c r="O33" s="61">
        <v>0</v>
      </c>
      <c r="P33" s="61">
        <v>0</v>
      </c>
      <c r="Q33" s="61">
        <v>150.6</v>
      </c>
      <c r="R33" s="97">
        <v>912</v>
      </c>
      <c r="S33" s="97">
        <v>1487</v>
      </c>
      <c r="T33" s="97">
        <v>1739</v>
      </c>
      <c r="U33" s="97">
        <v>2086</v>
      </c>
      <c r="V33" s="127">
        <v>2004.1</v>
      </c>
      <c r="W33" s="85">
        <v>1810.7</v>
      </c>
    </row>
    <row r="34" spans="1:23">
      <c r="A34" s="59" t="s">
        <v>47</v>
      </c>
      <c r="B34" s="60"/>
      <c r="C34" s="61">
        <v>-3.3</v>
      </c>
      <c r="D34" s="61">
        <v>-2.1</v>
      </c>
      <c r="E34" s="61">
        <v>0.6</v>
      </c>
      <c r="F34" s="97">
        <v>41</v>
      </c>
      <c r="G34" s="97">
        <v>157</v>
      </c>
      <c r="H34" s="97">
        <v>149</v>
      </c>
      <c r="I34" s="97">
        <v>30</v>
      </c>
      <c r="J34" s="123">
        <v>17.79</v>
      </c>
      <c r="K34" s="123">
        <v>-5.98</v>
      </c>
      <c r="L34" s="45"/>
      <c r="M34" s="67" t="s">
        <v>18</v>
      </c>
      <c r="N34" s="60"/>
      <c r="O34" s="61">
        <v>1273.8</v>
      </c>
      <c r="P34" s="61">
        <v>4008.7</v>
      </c>
      <c r="Q34" s="61">
        <v>256.3</v>
      </c>
      <c r="R34" s="97">
        <v>396</v>
      </c>
      <c r="S34" s="97">
        <v>512</v>
      </c>
      <c r="T34" s="97">
        <v>609</v>
      </c>
      <c r="U34" s="97">
        <v>334</v>
      </c>
      <c r="V34" s="59">
        <v>139.81</v>
      </c>
      <c r="W34" s="85">
        <v>264.10000000000002</v>
      </c>
    </row>
    <row r="35" spans="1:23">
      <c r="A35" s="119" t="s">
        <v>52</v>
      </c>
      <c r="B35" s="120"/>
      <c r="C35" s="95">
        <f t="shared" ref="C35:F35" si="21">C29+C34</f>
        <v>40.400000000005832</v>
      </c>
      <c r="D35" s="95">
        <f t="shared" si="21"/>
        <v>147.9000000000029</v>
      </c>
      <c r="E35" s="95">
        <f t="shared" si="21"/>
        <v>75.000000000002174</v>
      </c>
      <c r="F35" s="95">
        <f t="shared" si="21"/>
        <v>124</v>
      </c>
      <c r="G35" s="95">
        <v>445</v>
      </c>
      <c r="H35" s="95">
        <f>H29+H34</f>
        <v>138</v>
      </c>
      <c r="I35" s="95">
        <f>I29+I34</f>
        <v>261</v>
      </c>
      <c r="J35" s="95">
        <f>J29+J34</f>
        <v>1160.3199999999988</v>
      </c>
      <c r="K35" s="154">
        <f>K29+K34</f>
        <v>24.666999999999842</v>
      </c>
      <c r="L35" s="45"/>
      <c r="M35" s="67" t="s">
        <v>19</v>
      </c>
      <c r="N35" s="60"/>
      <c r="O35" s="61">
        <v>133.9</v>
      </c>
      <c r="P35" s="61">
        <v>323.8</v>
      </c>
      <c r="Q35" s="61">
        <v>31.7</v>
      </c>
      <c r="R35" s="97">
        <v>301</v>
      </c>
      <c r="S35" s="97">
        <v>259</v>
      </c>
      <c r="T35" s="97">
        <v>258</v>
      </c>
      <c r="U35" s="97">
        <v>464</v>
      </c>
      <c r="V35" s="59">
        <v>398.62</v>
      </c>
      <c r="W35" s="85">
        <v>224.01</v>
      </c>
    </row>
    <row r="36" spans="1:23">
      <c r="A36" s="111" t="s">
        <v>33</v>
      </c>
      <c r="B36" s="112"/>
      <c r="C36" s="112"/>
      <c r="D36" s="112">
        <f t="shared" ref="D36:E36" si="22">D35/C35-1</f>
        <v>2.6608910891084543</v>
      </c>
      <c r="E36" s="112">
        <f t="shared" si="22"/>
        <v>-0.49290060851926498</v>
      </c>
      <c r="F36" s="112">
        <f>F35/E35-1</f>
        <v>0.65333333333328536</v>
      </c>
      <c r="G36" s="112">
        <f>G35/F35-1</f>
        <v>2.588709677419355</v>
      </c>
      <c r="H36" s="112">
        <f>H35/G35-1</f>
        <v>-0.68988764044943818</v>
      </c>
      <c r="I36" s="112">
        <f>I35/H35-1</f>
        <v>0.89130434782608692</v>
      </c>
      <c r="J36" s="112">
        <f>J35/I35-1</f>
        <v>3.4456704980842865</v>
      </c>
      <c r="K36" s="110" t="s">
        <v>151</v>
      </c>
      <c r="L36" s="46"/>
      <c r="M36" s="55" t="s">
        <v>154</v>
      </c>
      <c r="N36" s="60"/>
      <c r="O36" s="61">
        <v>0</v>
      </c>
      <c r="P36" s="61">
        <v>72.400000000000006</v>
      </c>
      <c r="Q36" s="61">
        <v>51.2</v>
      </c>
      <c r="R36" s="97">
        <v>9</v>
      </c>
      <c r="S36" s="97">
        <v>13</v>
      </c>
      <c r="T36" s="97">
        <v>5</v>
      </c>
      <c r="U36" s="97">
        <v>7</v>
      </c>
      <c r="V36" s="59">
        <v>2.4</v>
      </c>
      <c r="W36" s="85">
        <v>2.33</v>
      </c>
    </row>
    <row r="37" spans="1:23">
      <c r="A37" s="111" t="s">
        <v>34</v>
      </c>
      <c r="B37" s="113"/>
      <c r="C37" s="113"/>
      <c r="D37" s="113"/>
      <c r="E37" s="112"/>
      <c r="F37" s="112">
        <f>((F35/C35)^(1/3)-1)</f>
        <v>0.45327155565510213</v>
      </c>
      <c r="G37" s="112">
        <f>((G35/D35)^(1/3)-1)</f>
        <v>0.4436567495559125</v>
      </c>
      <c r="H37" s="112">
        <f>((H35/E35)^(1/3)-1)</f>
        <v>0.22538513504567148</v>
      </c>
      <c r="I37" s="112">
        <f>((I35/F35)^(1/3)-1)</f>
        <v>0.28156195828575292</v>
      </c>
      <c r="J37" s="112">
        <f>((J35/G35)^(1/3)-1)</f>
        <v>0.37638285986020659</v>
      </c>
      <c r="K37" s="110" t="s">
        <v>151</v>
      </c>
      <c r="L37" s="51"/>
      <c r="M37" s="67" t="s">
        <v>12</v>
      </c>
      <c r="N37" s="60"/>
      <c r="O37" s="61">
        <v>54.6</v>
      </c>
      <c r="P37" s="61">
        <v>63.5</v>
      </c>
      <c r="Q37" s="61">
        <v>98.4</v>
      </c>
      <c r="R37" s="97">
        <v>63</v>
      </c>
      <c r="S37" s="97">
        <v>130</v>
      </c>
      <c r="T37" s="97">
        <v>86</v>
      </c>
      <c r="U37" s="97">
        <v>87</v>
      </c>
      <c r="V37" s="59">
        <v>61.25</v>
      </c>
      <c r="W37" s="85">
        <v>37.36</v>
      </c>
    </row>
    <row r="38" spans="1:23">
      <c r="A38" s="59" t="s">
        <v>48</v>
      </c>
      <c r="B38" s="60"/>
      <c r="C38" s="60"/>
      <c r="D38" s="60"/>
      <c r="E38" s="60"/>
      <c r="F38" s="60"/>
      <c r="G38" s="60"/>
      <c r="H38" s="59"/>
      <c r="I38" s="59"/>
      <c r="J38" s="59"/>
      <c r="K38" s="59"/>
      <c r="L38" s="45"/>
      <c r="M38" s="59" t="s">
        <v>155</v>
      </c>
      <c r="N38" s="60"/>
      <c r="O38" s="61">
        <v>33.9</v>
      </c>
      <c r="P38" s="61">
        <v>311.3</v>
      </c>
      <c r="Q38" s="61">
        <v>97.5</v>
      </c>
      <c r="R38" s="97">
        <v>39</v>
      </c>
      <c r="S38" s="97">
        <v>23</v>
      </c>
      <c r="T38" s="97">
        <v>19</v>
      </c>
      <c r="U38" s="97">
        <v>28</v>
      </c>
      <c r="V38" s="59">
        <v>31.29</v>
      </c>
      <c r="W38" s="85">
        <v>29.67</v>
      </c>
    </row>
    <row r="39" spans="1:23">
      <c r="A39" s="67" t="s">
        <v>53</v>
      </c>
      <c r="B39" s="60"/>
      <c r="C39" s="60">
        <v>3.04</v>
      </c>
      <c r="D39" s="60">
        <v>8.68</v>
      </c>
      <c r="E39" s="60">
        <v>4</v>
      </c>
      <c r="F39" s="102">
        <v>4.41</v>
      </c>
      <c r="G39" s="103">
        <v>15.34</v>
      </c>
      <c r="H39" s="102">
        <v>-0.59</v>
      </c>
      <c r="I39" s="102">
        <v>12.32</v>
      </c>
      <c r="J39" s="131">
        <v>60.86</v>
      </c>
      <c r="K39" s="131">
        <v>16.329999999999998</v>
      </c>
      <c r="L39" s="45"/>
      <c r="M39" s="55" t="s">
        <v>156</v>
      </c>
      <c r="R39" s="85">
        <v>223</v>
      </c>
      <c r="S39" s="85">
        <v>192</v>
      </c>
      <c r="T39" s="85">
        <v>221</v>
      </c>
      <c r="U39" s="85">
        <v>223</v>
      </c>
      <c r="V39" s="59">
        <v>284.99</v>
      </c>
      <c r="W39" s="85">
        <v>247.83</v>
      </c>
    </row>
    <row r="40" spans="1:23">
      <c r="A40" s="67" t="s">
        <v>54</v>
      </c>
      <c r="B40" s="60"/>
      <c r="C40" s="60">
        <v>3.02</v>
      </c>
      <c r="D40" s="60">
        <v>8.58</v>
      </c>
      <c r="E40" s="60">
        <v>3.99</v>
      </c>
      <c r="F40" s="102">
        <v>4.41</v>
      </c>
      <c r="G40" s="103">
        <v>15.34</v>
      </c>
      <c r="H40" s="102">
        <v>-0.59</v>
      </c>
      <c r="I40" s="102">
        <v>12.3</v>
      </c>
      <c r="J40" s="131">
        <v>60.73</v>
      </c>
      <c r="K40" s="131">
        <v>16.29</v>
      </c>
      <c r="L40" s="43"/>
      <c r="M40" s="121" t="s">
        <v>14</v>
      </c>
      <c r="N40" s="120"/>
      <c r="O40" s="95">
        <f>SUM(O31:O38)</f>
        <v>3028.9</v>
      </c>
      <c r="P40" s="95">
        <f>SUM(P31:P38)</f>
        <v>9633.6999999999989</v>
      </c>
      <c r="Q40" s="95">
        <f>SUM(Q31:Q38)</f>
        <v>1001.8000000000001</v>
      </c>
      <c r="R40" s="95">
        <f t="shared" ref="R40:V40" si="23">SUM(R31:R39)</f>
        <v>2795</v>
      </c>
      <c r="S40" s="95">
        <f t="shared" si="23"/>
        <v>3527</v>
      </c>
      <c r="T40" s="95">
        <f t="shared" si="23"/>
        <v>4098</v>
      </c>
      <c r="U40" s="95">
        <f t="shared" si="23"/>
        <v>4464</v>
      </c>
      <c r="V40" s="120">
        <f t="shared" si="23"/>
        <v>4158.7999999999993</v>
      </c>
      <c r="W40" s="120">
        <f>SUM(W31:W39)</f>
        <v>3833.0399999999995</v>
      </c>
    </row>
    <row r="41" spans="1:23">
      <c r="A41" s="111" t="s">
        <v>33</v>
      </c>
      <c r="B41" s="112"/>
      <c r="C41" s="112"/>
      <c r="D41" s="112">
        <f t="shared" ref="D41:E41" si="24">D40/C40-1</f>
        <v>1.8410596026490067</v>
      </c>
      <c r="E41" s="112">
        <f t="shared" si="24"/>
        <v>-0.534965034965035</v>
      </c>
      <c r="F41" s="112">
        <f>F40/E40-1</f>
        <v>0.10526315789473673</v>
      </c>
      <c r="G41" s="112">
        <f>G40/F40-1</f>
        <v>2.4784580498866213</v>
      </c>
      <c r="H41" s="112">
        <f>H40/G40-1</f>
        <v>-1.0384615384615385</v>
      </c>
      <c r="I41" s="112">
        <f>(I40/H40-1)*-1</f>
        <v>21.847457627118647</v>
      </c>
      <c r="J41" s="112">
        <f>J40/I40-1</f>
        <v>3.937398373983739</v>
      </c>
      <c r="K41" s="112"/>
      <c r="L41" s="43"/>
      <c r="M41" s="59"/>
      <c r="N41" s="60"/>
      <c r="O41" s="61"/>
      <c r="P41" s="61"/>
      <c r="Q41" s="61"/>
      <c r="R41" s="61"/>
      <c r="S41" s="61"/>
      <c r="T41" s="61"/>
      <c r="U41" s="61"/>
      <c r="V41" s="85"/>
      <c r="W41" s="85"/>
    </row>
    <row r="42" spans="1:23">
      <c r="A42" s="111" t="s">
        <v>34</v>
      </c>
      <c r="B42" s="113"/>
      <c r="C42" s="113"/>
      <c r="D42" s="113"/>
      <c r="E42" s="112"/>
      <c r="F42" s="112">
        <f>((F40/C40)^(1/3)-1)</f>
        <v>0.13451580080534664</v>
      </c>
      <c r="G42" s="112">
        <f>((G40/D40)^(1/3)-1)</f>
        <v>0.21370374105343592</v>
      </c>
      <c r="H42" s="112">
        <f>((H40/E40)^(1/3)-1)</f>
        <v>-1.5288019386460183</v>
      </c>
      <c r="I42" s="112">
        <f>((I40/F40)^(1/3)-1)</f>
        <v>0.40763105834398017</v>
      </c>
      <c r="J42" s="112">
        <f>((J40/G40)^(1/3)-1)</f>
        <v>0.58194959086566267</v>
      </c>
      <c r="K42" s="112"/>
      <c r="L42" s="43"/>
      <c r="M42" s="66" t="s">
        <v>20</v>
      </c>
      <c r="N42" s="60"/>
      <c r="O42" s="61"/>
      <c r="P42" s="61"/>
      <c r="Q42" s="61"/>
      <c r="R42" s="61"/>
      <c r="S42" s="61"/>
      <c r="T42" s="61"/>
      <c r="U42" s="61"/>
      <c r="V42" s="85"/>
      <c r="W42" s="85"/>
    </row>
    <row r="43" spans="1:23">
      <c r="A43" s="164"/>
      <c r="B43" s="165"/>
      <c r="C43" s="165"/>
      <c r="D43" s="165"/>
      <c r="E43" s="165"/>
      <c r="F43" s="165"/>
      <c r="G43" s="165"/>
      <c r="H43" s="165"/>
      <c r="I43" s="165"/>
      <c r="J43" s="165"/>
      <c r="K43" s="165"/>
      <c r="L43" s="45"/>
      <c r="M43" s="85" t="s">
        <v>158</v>
      </c>
      <c r="N43" s="85"/>
      <c r="O43" s="85"/>
      <c r="P43" s="85"/>
      <c r="Q43" s="85"/>
      <c r="R43" s="85"/>
      <c r="S43" s="85"/>
      <c r="T43" s="85"/>
      <c r="U43" s="85"/>
      <c r="V43" s="85"/>
      <c r="W43" s="85"/>
    </row>
    <row r="44" spans="1:23">
      <c r="A44" s="88" t="s">
        <v>55</v>
      </c>
      <c r="B44" s="136"/>
      <c r="C44" s="136" t="s">
        <v>31</v>
      </c>
      <c r="D44" s="136" t="s">
        <v>30</v>
      </c>
      <c r="E44" s="136" t="s">
        <v>1</v>
      </c>
      <c r="F44" s="136" t="s">
        <v>2</v>
      </c>
      <c r="G44" s="136" t="s">
        <v>49</v>
      </c>
      <c r="H44" s="136" t="s">
        <v>132</v>
      </c>
      <c r="I44" s="136" t="s">
        <v>149</v>
      </c>
      <c r="J44" s="136" t="s">
        <v>162</v>
      </c>
      <c r="K44" s="136" t="s">
        <v>165</v>
      </c>
      <c r="L44" s="45"/>
      <c r="M44" s="85" t="s">
        <v>159</v>
      </c>
      <c r="N44" s="85"/>
      <c r="O44" s="85"/>
      <c r="P44" s="85"/>
      <c r="Q44" s="85"/>
      <c r="R44" s="85">
        <v>2</v>
      </c>
      <c r="S44" s="85">
        <v>407</v>
      </c>
      <c r="T44" s="105">
        <v>1448</v>
      </c>
      <c r="U44" s="105">
        <v>2136</v>
      </c>
      <c r="V44" s="127">
        <v>1415.73</v>
      </c>
      <c r="W44" s="85">
        <v>991.36</v>
      </c>
    </row>
    <row r="45" spans="1:23">
      <c r="A45" s="59" t="s">
        <v>56</v>
      </c>
      <c r="B45" s="59"/>
      <c r="C45" s="61">
        <v>74</v>
      </c>
      <c r="D45" s="61">
        <v>133.9</v>
      </c>
      <c r="E45" s="61">
        <v>322.5</v>
      </c>
      <c r="F45" s="97">
        <v>469</v>
      </c>
      <c r="G45" s="97">
        <v>396</v>
      </c>
      <c r="H45" s="97">
        <v>512</v>
      </c>
      <c r="I45" s="98">
        <v>609.13</v>
      </c>
      <c r="J45" s="97">
        <f>I50</f>
        <v>334.53000000000009</v>
      </c>
      <c r="K45" s="97">
        <f>J50</f>
        <v>139.80999999999983</v>
      </c>
      <c r="L45" s="43"/>
      <c r="M45" s="59" t="s">
        <v>146</v>
      </c>
      <c r="N45" s="60"/>
      <c r="O45" s="61">
        <v>0</v>
      </c>
      <c r="P45" s="61">
        <v>0</v>
      </c>
      <c r="Q45" s="61">
        <v>0</v>
      </c>
      <c r="R45" s="97">
        <v>0</v>
      </c>
      <c r="S45" s="97">
        <v>0</v>
      </c>
      <c r="T45" s="97">
        <v>45</v>
      </c>
      <c r="U45" s="97">
        <v>35</v>
      </c>
      <c r="V45" s="59">
        <v>133.66999999999999</v>
      </c>
      <c r="W45" s="85">
        <v>158.99</v>
      </c>
    </row>
    <row r="46" spans="1:23">
      <c r="A46" s="67" t="s">
        <v>57</v>
      </c>
      <c r="B46" s="59"/>
      <c r="C46" s="61">
        <v>189.4</v>
      </c>
      <c r="D46" s="61">
        <v>309.89999999999998</v>
      </c>
      <c r="E46" s="61">
        <v>-59.9</v>
      </c>
      <c r="F46" s="97">
        <v>1836</v>
      </c>
      <c r="G46" s="97">
        <v>373</v>
      </c>
      <c r="H46" s="97">
        <v>556</v>
      </c>
      <c r="I46" s="98">
        <v>541.45000000000005</v>
      </c>
      <c r="J46" s="123">
        <v>1174.5</v>
      </c>
      <c r="K46" s="123">
        <v>746.3</v>
      </c>
      <c r="L46" s="43"/>
      <c r="M46" s="59" t="s">
        <v>21</v>
      </c>
      <c r="N46" s="60"/>
      <c r="O46" s="61">
        <v>2802.7</v>
      </c>
      <c r="P46" s="61">
        <v>9302.9</v>
      </c>
      <c r="Q46" s="61">
        <v>578.70000000000005</v>
      </c>
      <c r="R46" s="97">
        <v>938</v>
      </c>
      <c r="S46" s="97">
        <v>1125</v>
      </c>
      <c r="T46" s="97">
        <v>1433</v>
      </c>
      <c r="U46" s="97">
        <v>1206</v>
      </c>
      <c r="V46" s="59">
        <f>111.19+965.25</f>
        <v>1076.44</v>
      </c>
      <c r="W46" s="85">
        <f>687.04+87.26</f>
        <v>774.3</v>
      </c>
    </row>
    <row r="47" spans="1:23">
      <c r="A47" s="67" t="s">
        <v>58</v>
      </c>
      <c r="B47" s="59"/>
      <c r="C47" s="61">
        <v>-5.9</v>
      </c>
      <c r="D47" s="61">
        <v>85.2</v>
      </c>
      <c r="E47" s="61">
        <v>-160</v>
      </c>
      <c r="F47" s="97">
        <v>-400</v>
      </c>
      <c r="G47" s="97">
        <v>-509</v>
      </c>
      <c r="H47" s="97">
        <v>-564</v>
      </c>
      <c r="I47" s="98">
        <v>-407.15</v>
      </c>
      <c r="J47" s="123">
        <v>1432.99</v>
      </c>
      <c r="K47" s="123">
        <v>74.930000000000007</v>
      </c>
      <c r="L47" s="43"/>
      <c r="M47" s="59" t="s">
        <v>28</v>
      </c>
      <c r="N47" s="60"/>
      <c r="O47" s="61">
        <v>40.799999999999997</v>
      </c>
      <c r="P47" s="61">
        <v>28.5</v>
      </c>
      <c r="Q47" s="61">
        <v>49.3</v>
      </c>
      <c r="R47" s="97">
        <v>878</v>
      </c>
      <c r="S47" s="97">
        <v>918</v>
      </c>
      <c r="T47" s="97">
        <v>364</v>
      </c>
      <c r="U47" s="97">
        <v>330</v>
      </c>
      <c r="V47" s="59">
        <v>221.59</v>
      </c>
      <c r="W47" s="91">
        <v>325.17</v>
      </c>
    </row>
    <row r="48" spans="1:23">
      <c r="A48" s="67" t="s">
        <v>59</v>
      </c>
      <c r="B48" s="59"/>
      <c r="C48" s="61">
        <v>-123.6</v>
      </c>
      <c r="D48" s="61">
        <v>-205.2</v>
      </c>
      <c r="E48" s="61">
        <v>-70.900000000000006</v>
      </c>
      <c r="F48" s="97">
        <v>-1509</v>
      </c>
      <c r="G48" s="97">
        <v>251</v>
      </c>
      <c r="H48" s="97">
        <v>105</v>
      </c>
      <c r="I48" s="98">
        <v>-408.9</v>
      </c>
      <c r="J48" s="123">
        <v>-2802.21</v>
      </c>
      <c r="K48" s="123">
        <v>-696.94</v>
      </c>
      <c r="L48" s="43"/>
      <c r="M48" s="85" t="s">
        <v>29</v>
      </c>
      <c r="N48" s="85"/>
      <c r="O48" s="85"/>
      <c r="P48" s="85"/>
      <c r="Q48" s="85"/>
      <c r="R48" s="85">
        <v>95</v>
      </c>
      <c r="S48" s="85">
        <v>86</v>
      </c>
      <c r="T48" s="85">
        <v>86</v>
      </c>
      <c r="U48" s="85">
        <v>104</v>
      </c>
      <c r="V48" s="59">
        <v>52.88</v>
      </c>
      <c r="W48" s="85">
        <v>56.31</v>
      </c>
    </row>
    <row r="49" spans="1:26">
      <c r="A49" s="80" t="s">
        <v>60</v>
      </c>
      <c r="B49" s="59"/>
      <c r="C49" s="81">
        <f>SUM(C46:C48)</f>
        <v>59.900000000000006</v>
      </c>
      <c r="D49" s="81">
        <f>SUM(D46:D48)</f>
        <v>189.89999999999998</v>
      </c>
      <c r="E49" s="81">
        <f>SUM(E46:E48)</f>
        <v>-290.8</v>
      </c>
      <c r="F49" s="118">
        <f>SUM(F46:F48)</f>
        <v>-73</v>
      </c>
      <c r="G49" s="118">
        <f t="shared" ref="G49:H49" si="25">SUM(G46:G48)</f>
        <v>115</v>
      </c>
      <c r="H49" s="118">
        <f t="shared" si="25"/>
        <v>97</v>
      </c>
      <c r="I49" s="126">
        <f>SUM(I46:I48)</f>
        <v>-274.59999999999991</v>
      </c>
      <c r="J49" s="132">
        <f>SUM(J46:J48)</f>
        <v>-194.72000000000025</v>
      </c>
      <c r="K49" s="155">
        <f>SUM(K46:K48)</f>
        <v>124.28999999999996</v>
      </c>
      <c r="L49" s="43"/>
      <c r="M49" s="59" t="s">
        <v>27</v>
      </c>
      <c r="N49" s="59"/>
      <c r="O49" s="61">
        <v>35.200000000000003</v>
      </c>
      <c r="P49" s="61">
        <v>54.5</v>
      </c>
      <c r="Q49" s="61">
        <v>62.8</v>
      </c>
      <c r="R49" s="97">
        <v>37</v>
      </c>
      <c r="S49" s="97">
        <v>73</v>
      </c>
      <c r="T49" s="97">
        <v>42</v>
      </c>
      <c r="U49" s="97">
        <v>24</v>
      </c>
      <c r="V49" s="59">
        <v>36.83</v>
      </c>
      <c r="W49" s="85">
        <v>39.36</v>
      </c>
    </row>
    <row r="50" spans="1:26">
      <c r="A50" s="119" t="s">
        <v>61</v>
      </c>
      <c r="B50" s="120"/>
      <c r="C50" s="95">
        <f>C45+C49</f>
        <v>133.9</v>
      </c>
      <c r="D50" s="95">
        <f>D45+D49</f>
        <v>323.79999999999995</v>
      </c>
      <c r="E50" s="95">
        <f t="shared" ref="E50" si="26">E45+E49</f>
        <v>31.699999999999989</v>
      </c>
      <c r="F50" s="95">
        <v>396</v>
      </c>
      <c r="G50" s="95">
        <f>G45+G49</f>
        <v>511</v>
      </c>
      <c r="H50" s="120">
        <f>H45+H49</f>
        <v>609</v>
      </c>
      <c r="I50" s="125">
        <f>I45+I49</f>
        <v>334.53000000000009</v>
      </c>
      <c r="J50" s="124">
        <f>J45+J49</f>
        <v>139.80999999999983</v>
      </c>
      <c r="K50" s="153">
        <f>K45+K49</f>
        <v>264.0999999999998</v>
      </c>
      <c r="L50" s="43"/>
      <c r="M50" s="59" t="s">
        <v>22</v>
      </c>
      <c r="N50" s="60"/>
      <c r="O50" s="61">
        <v>0</v>
      </c>
      <c r="P50" s="61">
        <v>0</v>
      </c>
      <c r="Q50" s="61">
        <v>0</v>
      </c>
      <c r="R50" s="61"/>
      <c r="S50" s="61"/>
      <c r="T50" s="61"/>
      <c r="U50" s="61"/>
      <c r="V50" s="91"/>
      <c r="W50" s="85"/>
    </row>
    <row r="51" spans="1:26">
      <c r="A51" s="162"/>
      <c r="B51" s="163"/>
      <c r="C51" s="163"/>
      <c r="D51" s="163"/>
      <c r="E51" s="163"/>
      <c r="F51" s="163"/>
      <c r="G51" s="163"/>
      <c r="H51" s="163"/>
      <c r="I51" s="163"/>
      <c r="J51" s="163"/>
      <c r="K51" s="163"/>
      <c r="L51" s="43"/>
      <c r="M51" s="59"/>
      <c r="N51" s="60"/>
      <c r="O51" s="61"/>
      <c r="P51" s="61"/>
      <c r="Q51" s="61"/>
      <c r="R51" s="61"/>
      <c r="S51" s="61"/>
      <c r="T51" s="61"/>
      <c r="U51" s="61"/>
      <c r="V51" s="85"/>
      <c r="W51" s="85"/>
    </row>
    <row r="52" spans="1:26">
      <c r="A52" s="88" t="s">
        <v>62</v>
      </c>
      <c r="B52" s="136"/>
      <c r="C52" s="136" t="s">
        <v>31</v>
      </c>
      <c r="D52" s="136" t="s">
        <v>30</v>
      </c>
      <c r="E52" s="136" t="s">
        <v>1</v>
      </c>
      <c r="F52" s="136" t="s">
        <v>2</v>
      </c>
      <c r="G52" s="136" t="s">
        <v>49</v>
      </c>
      <c r="H52" s="136" t="s">
        <v>132</v>
      </c>
      <c r="I52" s="136" t="s">
        <v>149</v>
      </c>
      <c r="J52" s="136" t="s">
        <v>162</v>
      </c>
      <c r="K52" s="136" t="s">
        <v>165</v>
      </c>
      <c r="L52" s="43"/>
      <c r="M52" s="119" t="s">
        <v>20</v>
      </c>
      <c r="N52" s="120"/>
      <c r="O52" s="95">
        <f>SUM(O45:O51)</f>
        <v>2878.7</v>
      </c>
      <c r="P52" s="95">
        <f>SUM(P45:P51)</f>
        <v>9385.9</v>
      </c>
      <c r="Q52" s="95">
        <f>SUM(Q45:Q51)</f>
        <v>690.8</v>
      </c>
      <c r="R52" s="95">
        <f t="shared" ref="R52:V52" si="27">SUM(R44:R50)</f>
        <v>1950</v>
      </c>
      <c r="S52" s="95">
        <f t="shared" si="27"/>
        <v>2609</v>
      </c>
      <c r="T52" s="95">
        <f t="shared" si="27"/>
        <v>3418</v>
      </c>
      <c r="U52" s="95">
        <f t="shared" si="27"/>
        <v>3835</v>
      </c>
      <c r="V52" s="120">
        <f t="shared" si="27"/>
        <v>2937.1400000000003</v>
      </c>
      <c r="W52" s="120">
        <f>SUM(W44:W50)</f>
        <v>2345.4899999999998</v>
      </c>
    </row>
    <row r="53" spans="1:26">
      <c r="A53" s="59" t="s">
        <v>63</v>
      </c>
      <c r="B53" s="60"/>
      <c r="C53" s="61">
        <f t="shared" ref="C53:K53" si="28">C46</f>
        <v>189.4</v>
      </c>
      <c r="D53" s="61">
        <f t="shared" si="28"/>
        <v>309.89999999999998</v>
      </c>
      <c r="E53" s="61">
        <f t="shared" si="28"/>
        <v>-59.9</v>
      </c>
      <c r="F53" s="97">
        <f t="shared" si="28"/>
        <v>1836</v>
      </c>
      <c r="G53" s="97">
        <f t="shared" si="28"/>
        <v>373</v>
      </c>
      <c r="H53" s="97">
        <f t="shared" si="28"/>
        <v>556</v>
      </c>
      <c r="I53" s="98">
        <f t="shared" si="28"/>
        <v>541.45000000000005</v>
      </c>
      <c r="J53" s="122">
        <f t="shared" si="28"/>
        <v>1174.5</v>
      </c>
      <c r="K53" s="122">
        <f t="shared" si="28"/>
        <v>746.3</v>
      </c>
      <c r="L53" s="43"/>
      <c r="M53" s="119" t="s">
        <v>23</v>
      </c>
      <c r="N53" s="120"/>
      <c r="O53" s="95">
        <f t="shared" ref="O53:W53" si="29">O40-O52</f>
        <v>150.20000000000027</v>
      </c>
      <c r="P53" s="95">
        <f t="shared" si="29"/>
        <v>247.79999999999927</v>
      </c>
      <c r="Q53" s="95">
        <f t="shared" si="29"/>
        <v>311.00000000000011</v>
      </c>
      <c r="R53" s="95">
        <f t="shared" si="29"/>
        <v>845</v>
      </c>
      <c r="S53" s="95">
        <f t="shared" si="29"/>
        <v>918</v>
      </c>
      <c r="T53" s="95">
        <f t="shared" si="29"/>
        <v>680</v>
      </c>
      <c r="U53" s="95">
        <f t="shared" si="29"/>
        <v>629</v>
      </c>
      <c r="V53" s="95">
        <f t="shared" si="29"/>
        <v>1221.6599999999989</v>
      </c>
      <c r="W53" s="95">
        <f t="shared" si="29"/>
        <v>1487.5499999999997</v>
      </c>
      <c r="Z53" s="55">
        <f>51.29+1.37</f>
        <v>52.66</v>
      </c>
    </row>
    <row r="54" spans="1:26">
      <c r="A54" s="82" t="s">
        <v>64</v>
      </c>
      <c r="B54" s="93"/>
      <c r="C54" s="92">
        <f>-33.7</f>
        <v>-33.700000000000003</v>
      </c>
      <c r="D54" s="92">
        <f>-35.7</f>
        <v>-35.700000000000003</v>
      </c>
      <c r="E54" s="92">
        <f>-58.6</f>
        <v>-58.6</v>
      </c>
      <c r="F54" s="99">
        <f>-276</f>
        <v>-276</v>
      </c>
      <c r="G54" s="99">
        <f>-584</f>
        <v>-584</v>
      </c>
      <c r="H54" s="99">
        <f>-583</f>
        <v>-583</v>
      </c>
      <c r="I54" s="101">
        <v>-221</v>
      </c>
      <c r="J54" s="130">
        <v>1367.7</v>
      </c>
      <c r="K54" s="134">
        <f>-111.32</f>
        <v>-111.32</v>
      </c>
      <c r="L54" s="43"/>
      <c r="M54" s="85" t="s">
        <v>158</v>
      </c>
      <c r="N54" s="85"/>
      <c r="O54" s="85"/>
      <c r="P54" s="85"/>
      <c r="Q54" s="85"/>
      <c r="R54" s="85"/>
      <c r="S54" s="85"/>
      <c r="T54" s="85"/>
      <c r="U54" s="85"/>
      <c r="V54" s="85"/>
      <c r="W54" s="91"/>
    </row>
    <row r="55" spans="1:26">
      <c r="A55" s="119" t="s">
        <v>65</v>
      </c>
      <c r="B55" s="120"/>
      <c r="C55" s="95">
        <f t="shared" ref="C55:G55" si="30">SUM(C53:C54)</f>
        <v>155.69999999999999</v>
      </c>
      <c r="D55" s="95">
        <f t="shared" si="30"/>
        <v>274.2</v>
      </c>
      <c r="E55" s="95">
        <f t="shared" si="30"/>
        <v>-118.5</v>
      </c>
      <c r="F55" s="95">
        <f t="shared" si="30"/>
        <v>1560</v>
      </c>
      <c r="G55" s="95">
        <f t="shared" si="30"/>
        <v>-211</v>
      </c>
      <c r="H55" s="95">
        <f>SUM(H53:H54)</f>
        <v>-27</v>
      </c>
      <c r="I55" s="96">
        <f>SUM(I53:I54)</f>
        <v>320.45000000000005</v>
      </c>
      <c r="J55" s="96">
        <f>SUM(J53:J54)</f>
        <v>2542.1999999999998</v>
      </c>
      <c r="K55" s="96">
        <f>SUM(K53:K54)</f>
        <v>634.98</v>
      </c>
      <c r="L55" s="43"/>
      <c r="M55" s="59" t="s">
        <v>157</v>
      </c>
      <c r="N55" s="60"/>
      <c r="O55" s="61"/>
      <c r="P55" s="61"/>
      <c r="Q55" s="61"/>
      <c r="R55" s="97">
        <v>3003</v>
      </c>
      <c r="S55" s="97">
        <v>3314</v>
      </c>
      <c r="T55" s="97">
        <v>2992</v>
      </c>
      <c r="U55" s="97">
        <v>2196</v>
      </c>
      <c r="V55" s="127">
        <v>530.29999999999995</v>
      </c>
      <c r="W55" s="85">
        <v>399.76</v>
      </c>
      <c r="X55" s="55">
        <v>295.55</v>
      </c>
    </row>
    <row r="56" spans="1:26">
      <c r="A56" s="164"/>
      <c r="B56" s="165"/>
      <c r="C56" s="165"/>
      <c r="D56" s="165"/>
      <c r="E56" s="165"/>
      <c r="F56" s="165"/>
      <c r="G56" s="165"/>
      <c r="H56" s="165"/>
      <c r="I56" s="165"/>
      <c r="J56" s="165"/>
      <c r="K56" s="165"/>
      <c r="L56" s="43"/>
      <c r="M56" s="59" t="s">
        <v>146</v>
      </c>
      <c r="N56" s="60"/>
      <c r="O56" s="61">
        <v>0</v>
      </c>
      <c r="P56" s="61">
        <v>0</v>
      </c>
      <c r="Q56" s="61">
        <v>0</v>
      </c>
      <c r="R56" s="97">
        <v>0</v>
      </c>
      <c r="S56" s="97">
        <v>0</v>
      </c>
      <c r="T56" s="97">
        <v>221</v>
      </c>
      <c r="U56" s="97">
        <v>205</v>
      </c>
      <c r="V56" s="59">
        <v>904.85</v>
      </c>
      <c r="W56" s="85">
        <v>1060.32</v>
      </c>
      <c r="X56" s="55">
        <v>74</v>
      </c>
    </row>
    <row r="57" spans="1:26">
      <c r="A57" s="88" t="s">
        <v>62</v>
      </c>
      <c r="B57" s="136"/>
      <c r="C57" s="136" t="s">
        <v>31</v>
      </c>
      <c r="D57" s="136" t="s">
        <v>30</v>
      </c>
      <c r="E57" s="136" t="s">
        <v>1</v>
      </c>
      <c r="F57" s="136" t="s">
        <v>2</v>
      </c>
      <c r="G57" s="136" t="s">
        <v>49</v>
      </c>
      <c r="H57" s="136" t="s">
        <v>132</v>
      </c>
      <c r="I57" s="136" t="s">
        <v>149</v>
      </c>
      <c r="J57" s="136" t="s">
        <v>162</v>
      </c>
      <c r="K57" s="136" t="s">
        <v>165</v>
      </c>
      <c r="L57" s="43"/>
      <c r="M57" s="59" t="s">
        <v>27</v>
      </c>
      <c r="N57" s="60"/>
      <c r="O57" s="61">
        <v>25.2</v>
      </c>
      <c r="P57" s="61">
        <v>29.4</v>
      </c>
      <c r="Q57" s="61">
        <v>21.7</v>
      </c>
      <c r="R57" s="97">
        <v>39</v>
      </c>
      <c r="S57" s="97">
        <v>35</v>
      </c>
      <c r="T57" s="97">
        <v>34</v>
      </c>
      <c r="U57" s="97">
        <v>38</v>
      </c>
      <c r="V57" s="59">
        <v>38.14</v>
      </c>
      <c r="W57" s="85">
        <v>34.340000000000003</v>
      </c>
      <c r="X57" s="55">
        <f>X55-X56</f>
        <v>221.55</v>
      </c>
    </row>
    <row r="58" spans="1:26">
      <c r="A58" s="59" t="s">
        <v>99</v>
      </c>
      <c r="B58" s="60"/>
      <c r="C58" s="60">
        <v>18.61</v>
      </c>
      <c r="D58" s="60">
        <v>18.61</v>
      </c>
      <c r="E58" s="60">
        <v>18.61</v>
      </c>
      <c r="F58" s="102">
        <f>18768000/10^6</f>
        <v>18.768000000000001</v>
      </c>
      <c r="G58" s="102">
        <f>18768000/10^6</f>
        <v>18.768000000000001</v>
      </c>
      <c r="H58" s="102">
        <f>18768000/10^6</f>
        <v>18.768000000000001</v>
      </c>
      <c r="I58" s="104">
        <f>18768000/10^6</f>
        <v>18.768000000000001</v>
      </c>
      <c r="J58" s="133">
        <f>18778186/10^6</f>
        <v>18.778186000000002</v>
      </c>
      <c r="K58" s="133">
        <f>18778186/10^6</f>
        <v>18.778186000000002</v>
      </c>
      <c r="L58" s="43"/>
      <c r="M58" s="59" t="s">
        <v>138</v>
      </c>
      <c r="N58" s="59"/>
      <c r="O58" s="68">
        <v>0</v>
      </c>
      <c r="P58" s="68">
        <v>0</v>
      </c>
      <c r="Q58" s="68">
        <v>12.7</v>
      </c>
      <c r="R58" s="108">
        <v>120</v>
      </c>
      <c r="S58" s="108">
        <v>41</v>
      </c>
      <c r="T58" s="108">
        <v>36</v>
      </c>
      <c r="U58" s="108">
        <v>26</v>
      </c>
      <c r="V58" s="59">
        <v>3.4</v>
      </c>
      <c r="W58" s="85">
        <v>50.62</v>
      </c>
    </row>
    <row r="59" spans="1:26">
      <c r="A59" s="59" t="s">
        <v>100</v>
      </c>
      <c r="B59" s="60"/>
      <c r="C59" s="61">
        <v>10</v>
      </c>
      <c r="D59" s="61">
        <v>10</v>
      </c>
      <c r="E59" s="61">
        <v>10</v>
      </c>
      <c r="F59" s="97">
        <v>10</v>
      </c>
      <c r="G59" s="97">
        <v>10</v>
      </c>
      <c r="H59" s="97">
        <v>10</v>
      </c>
      <c r="I59" s="98">
        <v>10</v>
      </c>
      <c r="J59" s="122">
        <v>10</v>
      </c>
      <c r="K59" s="122">
        <v>10</v>
      </c>
      <c r="L59" s="43"/>
      <c r="M59" s="59" t="s">
        <v>26</v>
      </c>
      <c r="N59" s="60"/>
      <c r="O59" s="61">
        <v>3.1</v>
      </c>
      <c r="P59" s="61">
        <v>3.7</v>
      </c>
      <c r="Q59" s="61">
        <v>4.5999999999999996</v>
      </c>
      <c r="R59" s="97">
        <v>17</v>
      </c>
      <c r="S59" s="97">
        <v>15</v>
      </c>
      <c r="T59" s="97">
        <v>13</v>
      </c>
      <c r="U59" s="97">
        <v>10</v>
      </c>
      <c r="V59" s="59">
        <v>8.82</v>
      </c>
      <c r="W59" s="85">
        <v>8.4</v>
      </c>
    </row>
    <row r="60" spans="1:26">
      <c r="A60" s="82" t="s">
        <v>68</v>
      </c>
      <c r="B60" s="84"/>
      <c r="C60" s="83">
        <f t="shared" ref="C60:K60" si="31">C58*O66</f>
        <v>3177.6574999999998</v>
      </c>
      <c r="D60" s="83">
        <f t="shared" si="31"/>
        <v>6306.9289999999992</v>
      </c>
      <c r="E60" s="83">
        <f t="shared" si="31"/>
        <v>3580.5639999999999</v>
      </c>
      <c r="F60" s="97">
        <f t="shared" si="31"/>
        <v>1333.4664</v>
      </c>
      <c r="G60" s="97">
        <f t="shared" si="31"/>
        <v>3252.4944000000005</v>
      </c>
      <c r="H60" s="97">
        <f t="shared" si="31"/>
        <v>4044.5040000000004</v>
      </c>
      <c r="I60" s="98">
        <f t="shared" si="31"/>
        <v>4741.7352000000001</v>
      </c>
      <c r="J60" s="122">
        <f t="shared" si="31"/>
        <v>14431.035941000002</v>
      </c>
      <c r="K60" s="122">
        <f t="shared" si="31"/>
        <v>15003.770614000001</v>
      </c>
      <c r="L60" s="43"/>
      <c r="M60" s="121" t="s">
        <v>136</v>
      </c>
      <c r="N60" s="120"/>
      <c r="O60" s="95">
        <f>SUM(O56:O59)</f>
        <v>28.3</v>
      </c>
      <c r="P60" s="95">
        <f t="shared" ref="P60:Q60" si="32">SUM(P56:P59)</f>
        <v>33.1</v>
      </c>
      <c r="Q60" s="95">
        <f t="shared" si="32"/>
        <v>39</v>
      </c>
      <c r="R60" s="95">
        <f t="shared" ref="R60:W60" si="33">SUM(R55:R59)</f>
        <v>3179</v>
      </c>
      <c r="S60" s="95">
        <f t="shared" si="33"/>
        <v>3405</v>
      </c>
      <c r="T60" s="95">
        <f t="shared" si="33"/>
        <v>3296</v>
      </c>
      <c r="U60" s="95">
        <f t="shared" si="33"/>
        <v>2475</v>
      </c>
      <c r="V60" s="95">
        <f t="shared" si="33"/>
        <v>1485.5100000000002</v>
      </c>
      <c r="W60" s="95">
        <f t="shared" si="33"/>
        <v>1553.4399999999998</v>
      </c>
    </row>
    <row r="61" spans="1:26">
      <c r="A61" s="82" t="s">
        <v>67</v>
      </c>
      <c r="B61" s="84"/>
      <c r="C61" s="83">
        <f t="shared" ref="C61:H61" si="34">O10</f>
        <v>224.5</v>
      </c>
      <c r="D61" s="83">
        <f t="shared" si="34"/>
        <v>32.9</v>
      </c>
      <c r="E61" s="83">
        <f t="shared" si="34"/>
        <v>0</v>
      </c>
      <c r="F61" s="97">
        <f t="shared" si="34"/>
        <v>3005</v>
      </c>
      <c r="G61" s="97">
        <f t="shared" si="34"/>
        <v>3720</v>
      </c>
      <c r="H61" s="97">
        <f t="shared" si="34"/>
        <v>4439</v>
      </c>
      <c r="I61" s="98">
        <f>U10</f>
        <v>4332</v>
      </c>
      <c r="J61" s="122">
        <f>V10</f>
        <v>1946.03</v>
      </c>
      <c r="K61" s="122">
        <f>W10</f>
        <v>1391.12</v>
      </c>
      <c r="L61" s="43"/>
      <c r="M61" s="59"/>
      <c r="N61" s="63"/>
      <c r="O61" s="64"/>
      <c r="P61" s="64"/>
      <c r="Q61" s="64"/>
      <c r="R61" s="64"/>
      <c r="S61" s="64"/>
      <c r="T61" s="64"/>
      <c r="U61" s="64"/>
      <c r="V61" s="85"/>
      <c r="W61" s="85"/>
    </row>
    <row r="62" spans="1:26">
      <c r="A62" s="82" t="s">
        <v>148</v>
      </c>
      <c r="B62" s="84"/>
      <c r="C62" s="83">
        <f t="shared" ref="C62:E62" si="35">O35+O36</f>
        <v>133.9</v>
      </c>
      <c r="D62" s="83">
        <f t="shared" si="35"/>
        <v>396.20000000000005</v>
      </c>
      <c r="E62" s="83">
        <f t="shared" si="35"/>
        <v>82.9</v>
      </c>
      <c r="F62" s="97">
        <f>R35+R34</f>
        <v>697</v>
      </c>
      <c r="G62" s="97">
        <f t="shared" ref="G62:I62" si="36">S35+S34</f>
        <v>771</v>
      </c>
      <c r="H62" s="97">
        <f t="shared" si="36"/>
        <v>867</v>
      </c>
      <c r="I62" s="97">
        <f t="shared" si="36"/>
        <v>798</v>
      </c>
      <c r="J62" s="123">
        <f>V35+V34</f>
        <v>538.43000000000006</v>
      </c>
      <c r="K62" s="123">
        <f>W35+W34</f>
        <v>488.11</v>
      </c>
      <c r="L62" s="43"/>
      <c r="M62" s="119" t="s">
        <v>25</v>
      </c>
      <c r="N62" s="120"/>
      <c r="O62" s="95">
        <f>O6+O7+O10+O52+O60</f>
        <v>3795.3</v>
      </c>
      <c r="P62" s="95">
        <f>P6+P7+P10+P52+P60</f>
        <v>10273.799999999999</v>
      </c>
      <c r="Q62" s="95">
        <f>Q6+Q7+Q10+Q52+Q60</f>
        <v>1599.6</v>
      </c>
      <c r="R62" s="95">
        <f>R6+R7+R52+R60</f>
        <v>7890.5</v>
      </c>
      <c r="S62" s="95">
        <f>S52+S60+S6</f>
        <v>9220.5</v>
      </c>
      <c r="T62" s="95">
        <f>T6+T52+T60</f>
        <v>10020.5</v>
      </c>
      <c r="U62" s="95">
        <f>U6+U7+U52+U60</f>
        <v>9853.5</v>
      </c>
      <c r="V62" s="95">
        <f>V6+V7+V52+V60</f>
        <v>9084.18</v>
      </c>
      <c r="W62" s="95">
        <f>W6+W7+W52+W60</f>
        <v>8791.9599999999991</v>
      </c>
    </row>
    <row r="63" spans="1:26">
      <c r="A63" s="119" t="s">
        <v>69</v>
      </c>
      <c r="B63" s="120"/>
      <c r="C63" s="95">
        <f>SUM(C60:C61)-C62</f>
        <v>3268.2574999999997</v>
      </c>
      <c r="D63" s="95">
        <f t="shared" ref="D63:F63" si="37">SUM(D60:D61)-D62</f>
        <v>5943.628999999999</v>
      </c>
      <c r="E63" s="95">
        <f t="shared" si="37"/>
        <v>3497.6639999999998</v>
      </c>
      <c r="F63" s="95">
        <f t="shared" si="37"/>
        <v>3641.4664000000002</v>
      </c>
      <c r="G63" s="95">
        <f t="shared" ref="G63" si="38">SUM(G60:G61)-G62</f>
        <v>6201.4944000000005</v>
      </c>
      <c r="H63" s="95">
        <f>SUM(H60:H61)-H62</f>
        <v>7616.5040000000008</v>
      </c>
      <c r="I63" s="96">
        <f>SUM(I60:I61)-I62</f>
        <v>8275.7351999999992</v>
      </c>
      <c r="J63" s="96">
        <f>SUM(J60:J61)-J62</f>
        <v>15838.635941000002</v>
      </c>
      <c r="K63" s="96">
        <f>SUM(K60:K61)-K62</f>
        <v>15906.780613999999</v>
      </c>
      <c r="L63" s="43"/>
      <c r="M63" s="119" t="s">
        <v>24</v>
      </c>
      <c r="N63" s="120"/>
      <c r="O63" s="95" t="e">
        <f>O28+O40+#REF!</f>
        <v>#REF!</v>
      </c>
      <c r="P63" s="95" t="e">
        <f>P28+P40+#REF!</f>
        <v>#REF!</v>
      </c>
      <c r="Q63" s="95" t="e">
        <f>Q28+Q40+#REF!</f>
        <v>#REF!</v>
      </c>
      <c r="R63" s="95" t="e">
        <f>R28+R40+#REF!</f>
        <v>#REF!</v>
      </c>
      <c r="S63" s="95">
        <f>S28+S40</f>
        <v>9221</v>
      </c>
      <c r="T63" s="95">
        <f>T28+T40</f>
        <v>10021</v>
      </c>
      <c r="U63" s="95">
        <f>U28+U40</f>
        <v>9853.869999999999</v>
      </c>
      <c r="V63" s="95">
        <f>V28+V40</f>
        <v>9084.1799999999985</v>
      </c>
      <c r="W63" s="95">
        <f>W28+W40</f>
        <v>8791.9599999999991</v>
      </c>
    </row>
    <row r="64" spans="1:26">
      <c r="L64" s="43"/>
      <c r="M64"/>
      <c r="N64"/>
      <c r="O64"/>
      <c r="P64"/>
      <c r="Q64"/>
      <c r="R64"/>
      <c r="S64" s="1"/>
      <c r="T64" s="1"/>
      <c r="U64" s="1"/>
    </row>
    <row r="65" spans="1:24">
      <c r="L65" s="43"/>
      <c r="M65" s="119" t="s">
        <v>62</v>
      </c>
      <c r="N65" s="137"/>
      <c r="O65" s="137" t="s">
        <v>31</v>
      </c>
      <c r="P65" s="137" t="s">
        <v>30</v>
      </c>
      <c r="Q65" s="137" t="s">
        <v>1</v>
      </c>
      <c r="R65" s="137" t="s">
        <v>2</v>
      </c>
      <c r="S65" s="137" t="s">
        <v>49</v>
      </c>
      <c r="T65" s="137" t="s">
        <v>132</v>
      </c>
      <c r="U65" s="137" t="s">
        <v>149</v>
      </c>
      <c r="V65" s="137" t="s">
        <v>162</v>
      </c>
      <c r="W65" s="137" t="s">
        <v>166</v>
      </c>
    </row>
    <row r="66" spans="1:24">
      <c r="L66" s="43"/>
      <c r="M66" s="59" t="s">
        <v>143</v>
      </c>
      <c r="N66" s="60"/>
      <c r="O66" s="60">
        <v>170.75</v>
      </c>
      <c r="P66" s="60">
        <v>338.9</v>
      </c>
      <c r="Q66" s="60">
        <v>192.4</v>
      </c>
      <c r="R66" s="141">
        <v>71.05</v>
      </c>
      <c r="S66" s="142">
        <v>173.3</v>
      </c>
      <c r="T66" s="142">
        <v>215.5</v>
      </c>
      <c r="U66" s="142">
        <v>252.65</v>
      </c>
      <c r="V66" s="143">
        <v>768.5</v>
      </c>
      <c r="W66" s="131">
        <v>799</v>
      </c>
    </row>
    <row r="67" spans="1:24">
      <c r="A67" s="56"/>
      <c r="L67" s="43"/>
      <c r="M67" s="59" t="s">
        <v>70</v>
      </c>
      <c r="N67" s="131"/>
      <c r="O67" s="131">
        <f>C40</f>
        <v>3.02</v>
      </c>
      <c r="P67" s="131">
        <f>D40</f>
        <v>8.58</v>
      </c>
      <c r="Q67" s="131">
        <f>E40</f>
        <v>3.99</v>
      </c>
      <c r="R67" s="131">
        <v>4.41</v>
      </c>
      <c r="S67" s="145">
        <v>15.34</v>
      </c>
      <c r="T67" s="145">
        <v>-0.59</v>
      </c>
      <c r="U67" s="145">
        <v>12.3</v>
      </c>
      <c r="V67" s="146">
        <f>J40</f>
        <v>60.73</v>
      </c>
      <c r="W67" s="147">
        <f>16.29+9.48</f>
        <v>25.77</v>
      </c>
      <c r="X67" s="55" t="s">
        <v>164</v>
      </c>
    </row>
    <row r="68" spans="1:24">
      <c r="L68" s="43"/>
      <c r="M68" s="59" t="s">
        <v>71</v>
      </c>
      <c r="N68" s="131"/>
      <c r="O68" s="131">
        <f t="shared" ref="O68:V68" si="39">O6/C58</f>
        <v>36.061257388500806</v>
      </c>
      <c r="P68" s="131">
        <f t="shared" si="39"/>
        <v>44.454594304137565</v>
      </c>
      <c r="Q68" s="131">
        <f t="shared" si="39"/>
        <v>46.73831273508867</v>
      </c>
      <c r="R68" s="131">
        <f t="shared" si="39"/>
        <v>147.13874680306904</v>
      </c>
      <c r="S68" s="131">
        <f t="shared" si="39"/>
        <v>170.8493179880648</v>
      </c>
      <c r="T68" s="131">
        <f t="shared" si="39"/>
        <v>176.17753623188406</v>
      </c>
      <c r="U68" s="131">
        <f t="shared" si="39"/>
        <v>188.80541346973573</v>
      </c>
      <c r="V68" s="131">
        <f t="shared" si="39"/>
        <v>248.2417630755175</v>
      </c>
      <c r="W68" s="145" t="s">
        <v>151</v>
      </c>
    </row>
    <row r="69" spans="1:24">
      <c r="L69" s="43"/>
      <c r="M69" s="59" t="s">
        <v>72</v>
      </c>
      <c r="N69" s="60"/>
      <c r="O69" s="60">
        <v>0.5</v>
      </c>
      <c r="P69" s="60">
        <v>1.5</v>
      </c>
      <c r="Q69" s="60">
        <v>1.5</v>
      </c>
      <c r="R69" s="102">
        <v>1.5</v>
      </c>
      <c r="S69" s="102">
        <v>2</v>
      </c>
      <c r="T69" s="102">
        <v>1.5</v>
      </c>
      <c r="U69" s="102">
        <v>2.5</v>
      </c>
      <c r="V69" s="144">
        <v>5</v>
      </c>
      <c r="W69" s="157" t="s">
        <v>150</v>
      </c>
    </row>
    <row r="70" spans="1:24">
      <c r="L70" s="43"/>
      <c r="M70" s="148" t="s">
        <v>73</v>
      </c>
      <c r="N70" s="149"/>
      <c r="O70" s="149">
        <f t="shared" ref="O70:S70" si="40">O66/O67</f>
        <v>56.539735099337747</v>
      </c>
      <c r="P70" s="149">
        <f t="shared" si="40"/>
        <v>39.498834498834498</v>
      </c>
      <c r="Q70" s="149">
        <f t="shared" si="40"/>
        <v>48.220551378446117</v>
      </c>
      <c r="R70" s="149">
        <f>R66/R67</f>
        <v>16.111111111111111</v>
      </c>
      <c r="S70" s="149">
        <f t="shared" si="40"/>
        <v>11.297262059973924</v>
      </c>
      <c r="T70" s="150" t="s">
        <v>150</v>
      </c>
      <c r="U70" s="149">
        <f>U66/U67</f>
        <v>20.540650406504064</v>
      </c>
      <c r="V70" s="149">
        <f>V66/V67</f>
        <v>12.654371809649268</v>
      </c>
      <c r="W70" s="149">
        <f>W66/W67</f>
        <v>31.005044625533568</v>
      </c>
    </row>
    <row r="71" spans="1:24">
      <c r="L71" s="43"/>
      <c r="M71" s="148" t="s">
        <v>74</v>
      </c>
      <c r="N71" s="149"/>
      <c r="O71" s="149">
        <f t="shared" ref="O71:R71" si="41">O66/O68</f>
        <v>4.7349985099091043</v>
      </c>
      <c r="P71" s="149">
        <f t="shared" si="41"/>
        <v>7.6235090051976293</v>
      </c>
      <c r="Q71" s="149">
        <f t="shared" si="41"/>
        <v>4.1165371349735569</v>
      </c>
      <c r="R71" s="149">
        <f t="shared" si="41"/>
        <v>0.48287756653992397</v>
      </c>
      <c r="S71" s="149">
        <f t="shared" ref="S71" si="42">S66/S68</f>
        <v>1.0143441135194138</v>
      </c>
      <c r="T71" s="149">
        <f>T66/T68</f>
        <v>1.22319794344473</v>
      </c>
      <c r="U71" s="149">
        <f>U66/U68</f>
        <v>1.3381501904896289</v>
      </c>
      <c r="V71" s="149">
        <f>V66/V68</f>
        <v>3.0957724054119571</v>
      </c>
      <c r="W71" s="156" t="s">
        <v>151</v>
      </c>
    </row>
    <row r="72" spans="1:24">
      <c r="L72" s="43"/>
      <c r="M72" s="148" t="s">
        <v>75</v>
      </c>
      <c r="N72" s="149"/>
      <c r="O72" s="149">
        <f t="shared" ref="O72:V72" si="43">C63/C13</f>
        <v>26.021158439489238</v>
      </c>
      <c r="P72" s="149">
        <f t="shared" si="43"/>
        <v>25.476335190741214</v>
      </c>
      <c r="Q72" s="149">
        <f t="shared" si="43"/>
        <v>19.260264317180383</v>
      </c>
      <c r="R72" s="149">
        <f t="shared" si="43"/>
        <v>4.3506169653524491</v>
      </c>
      <c r="S72" s="149">
        <f t="shared" si="43"/>
        <v>6.8982140155728588</v>
      </c>
      <c r="T72" s="149">
        <f t="shared" si="43"/>
        <v>9.3225263157894744</v>
      </c>
      <c r="U72" s="149">
        <f t="shared" si="43"/>
        <v>5.856854352441613</v>
      </c>
      <c r="V72" s="149">
        <f t="shared" si="43"/>
        <v>10.563456856167223</v>
      </c>
      <c r="W72" s="156" t="s">
        <v>151</v>
      </c>
    </row>
    <row r="73" spans="1:24">
      <c r="L73" s="43"/>
      <c r="M73" s="148" t="s">
        <v>85</v>
      </c>
      <c r="N73" s="149"/>
      <c r="O73" s="149">
        <f>C4/SUM(O17:O21)</f>
        <v>72.246712407089774</v>
      </c>
      <c r="P73" s="149">
        <f>D4/SUM(P17:P21)</f>
        <v>135.83696005196492</v>
      </c>
      <c r="Q73" s="149">
        <f>E4/SUM(Q17:Q21)</f>
        <v>90.954800395908933</v>
      </c>
      <c r="R73" s="149">
        <f>F4/SUM(R17:R19)</f>
        <v>1.9561094554321321</v>
      </c>
      <c r="S73" s="149">
        <f>G4/SUM(S17:S19)</f>
        <v>1.7541176470588236</v>
      </c>
      <c r="T73" s="149">
        <f>H4/SUM(T17:T19)</f>
        <v>2.1459208489940305</v>
      </c>
      <c r="U73" s="149">
        <f>I4/SUM(U17:U19)</f>
        <v>2.7523540489642184</v>
      </c>
      <c r="V73" s="149">
        <f>J4/SUM(V17:V19)</f>
        <v>2.8661667490943739</v>
      </c>
      <c r="W73" s="156" t="s">
        <v>151</v>
      </c>
    </row>
    <row r="74" spans="1:24">
      <c r="L74" s="43"/>
      <c r="M74" s="148" t="s">
        <v>76</v>
      </c>
      <c r="N74" s="151"/>
      <c r="O74" s="151">
        <f t="shared" ref="O74:V74" si="44">C29/O6</f>
        <v>6.511697213530894E-2</v>
      </c>
      <c r="P74" s="151">
        <f t="shared" si="44"/>
        <v>0.18131270397679547</v>
      </c>
      <c r="Q74" s="151">
        <f t="shared" si="44"/>
        <v>8.5536905035642874E-2</v>
      </c>
      <c r="R74" s="151">
        <f t="shared" si="44"/>
        <v>3.0056128915444506E-2</v>
      </c>
      <c r="S74" s="151">
        <f t="shared" si="44"/>
        <v>8.9817558085139554E-2</v>
      </c>
      <c r="T74" s="151">
        <f t="shared" si="44"/>
        <v>-3.3267805836987752E-3</v>
      </c>
      <c r="U74" s="151">
        <f t="shared" si="44"/>
        <v>6.5189784111753912E-2</v>
      </c>
      <c r="V74" s="151">
        <f t="shared" si="44"/>
        <v>0.24509763961617728</v>
      </c>
      <c r="W74" s="156" t="s">
        <v>151</v>
      </c>
    </row>
    <row r="75" spans="1:24">
      <c r="L75" s="43"/>
      <c r="M75" s="148" t="s">
        <v>77</v>
      </c>
      <c r="N75" s="151"/>
      <c r="O75" s="151" t="e">
        <f t="shared" ref="O75:V75" si="45">(C21-C20+C19)/(O63-O52-O9)</f>
        <v>#REF!</v>
      </c>
      <c r="P75" s="151" t="e">
        <f t="shared" si="45"/>
        <v>#REF!</v>
      </c>
      <c r="Q75" s="151" t="e">
        <f t="shared" si="45"/>
        <v>#REF!</v>
      </c>
      <c r="R75" s="151" t="e">
        <f t="shared" si="45"/>
        <v>#REF!</v>
      </c>
      <c r="S75" s="151">
        <f t="shared" si="45"/>
        <v>9.2330003222687723E-2</v>
      </c>
      <c r="T75" s="151">
        <f t="shared" si="45"/>
        <v>7.2342901474010859E-2</v>
      </c>
      <c r="U75" s="151">
        <f t="shared" si="45"/>
        <v>0.17281031814096279</v>
      </c>
      <c r="V75" s="151">
        <f t="shared" si="45"/>
        <v>0.20859973242083046</v>
      </c>
      <c r="W75" s="156" t="s">
        <v>151</v>
      </c>
    </row>
    <row r="76" spans="1:24">
      <c r="L76" s="43"/>
      <c r="M76" s="148" t="s">
        <v>78</v>
      </c>
      <c r="N76" s="149"/>
      <c r="O76" s="149">
        <f t="shared" ref="O76:V76" si="46">O10/O6</f>
        <v>0.33452540604976905</v>
      </c>
      <c r="P76" s="149">
        <f t="shared" si="46"/>
        <v>3.9767919738909703E-2</v>
      </c>
      <c r="Q76" s="149">
        <f t="shared" si="46"/>
        <v>0</v>
      </c>
      <c r="R76" s="149">
        <f t="shared" si="46"/>
        <v>1.0881767155531414</v>
      </c>
      <c r="S76" s="149">
        <f t="shared" si="46"/>
        <v>1.1601434585997192</v>
      </c>
      <c r="T76" s="149">
        <f t="shared" si="46"/>
        <v>1.3425071828217148</v>
      </c>
      <c r="U76" s="149">
        <f t="shared" si="46"/>
        <v>1.2225201072386058</v>
      </c>
      <c r="V76" s="149">
        <f t="shared" si="46"/>
        <v>0.41746593929460929</v>
      </c>
      <c r="W76" s="156" t="s">
        <v>151</v>
      </c>
    </row>
    <row r="77" spans="1:24">
      <c r="L77" s="43"/>
      <c r="M77" s="148" t="s">
        <v>79</v>
      </c>
      <c r="N77" s="149"/>
      <c r="O77" s="149">
        <f>(O10-O35-O36)/O6</f>
        <v>0.1350022351363433</v>
      </c>
      <c r="P77" s="149">
        <f>(P10-P35-P36)/P6</f>
        <v>-0.43913936903179018</v>
      </c>
      <c r="Q77" s="149">
        <f>(Q10-Q35-Q36)/Q6</f>
        <v>-9.5309266498045525E-2</v>
      </c>
      <c r="R77" s="149">
        <f>(R10-R35-R34)/R6</f>
        <v>0.83577765707043272</v>
      </c>
      <c r="S77" s="149">
        <f>(S10-S35-S34)/S6</f>
        <v>0.91969437080929362</v>
      </c>
      <c r="T77" s="149">
        <f>(T10-T35-T34)/T6</f>
        <v>1.0802963859065478</v>
      </c>
      <c r="U77" s="149">
        <f>(U10-U35-U34)/U6</f>
        <v>0.99731903485254692</v>
      </c>
      <c r="V77" s="149">
        <f>(V10-V35-V34)/V6</f>
        <v>0.30196094415352898</v>
      </c>
      <c r="W77" s="156" t="s">
        <v>151</v>
      </c>
    </row>
    <row r="78" spans="1:24">
      <c r="L78" s="43"/>
      <c r="M78" s="148" t="s">
        <v>80</v>
      </c>
      <c r="N78" s="152"/>
      <c r="O78" s="152">
        <f t="shared" ref="O78:S78" si="47">O69/O66</f>
        <v>2.9282576866764276E-3</v>
      </c>
      <c r="P78" s="152">
        <f t="shared" si="47"/>
        <v>4.426084390675716E-3</v>
      </c>
      <c r="Q78" s="152">
        <f t="shared" si="47"/>
        <v>7.7962577962577958E-3</v>
      </c>
      <c r="R78" s="152">
        <f t="shared" si="47"/>
        <v>2.1111893033075299E-2</v>
      </c>
      <c r="S78" s="152">
        <f t="shared" si="47"/>
        <v>1.1540680900173109E-2</v>
      </c>
      <c r="T78" s="152">
        <f>T69/T66</f>
        <v>6.9605568445475635E-3</v>
      </c>
      <c r="U78" s="152">
        <f>U69/U66</f>
        <v>9.8951118147635065E-3</v>
      </c>
      <c r="V78" s="152">
        <f>V69/V66</f>
        <v>6.5061808718282366E-3</v>
      </c>
      <c r="W78" s="156" t="s">
        <v>151</v>
      </c>
    </row>
    <row r="79" spans="1:24">
      <c r="L79" s="43"/>
      <c r="M79" s="148" t="s">
        <v>81</v>
      </c>
      <c r="N79" s="149"/>
      <c r="O79" s="149">
        <f>AVERAGE(N34:O34)/C4*365</f>
        <v>18.397389986506752</v>
      </c>
      <c r="P79" s="149">
        <f>AVERAGE(O34:P34)/D4*365</f>
        <v>23.05020179704573</v>
      </c>
      <c r="Q79" s="149">
        <f>AVERAGE(P34:Q34)/E4*365</f>
        <v>28.233865585235264</v>
      </c>
      <c r="R79" s="149">
        <f>AVERAGE(Q33:R33)/F4*365</f>
        <v>26.859349030470913</v>
      </c>
      <c r="S79" s="149">
        <f>AVERAGE(R33:S33)/G4*365</f>
        <v>58.728034875922198</v>
      </c>
      <c r="T79" s="149">
        <f>AVERAGE(S33:T33)/H4*365</f>
        <v>60.657840511024105</v>
      </c>
      <c r="U79" s="149">
        <f>AVERAGE(T33:U33)/I4*365</f>
        <v>59.704284981183719</v>
      </c>
      <c r="V79" s="149">
        <f>AVERAGE(U33:V33)/J4*365</f>
        <v>67.435168329712127</v>
      </c>
      <c r="W79" s="156" t="s">
        <v>151</v>
      </c>
    </row>
    <row r="80" spans="1:24">
      <c r="L80" s="43"/>
      <c r="M80" s="148" t="s">
        <v>83</v>
      </c>
      <c r="N80" s="148"/>
      <c r="O80" s="148"/>
      <c r="P80" s="148"/>
      <c r="Q80" s="148"/>
      <c r="R80" s="149">
        <f>AVERAGE(Q31:R31)/(SUM(F8:F12))*365</f>
        <v>33.397814507284977</v>
      </c>
      <c r="S80" s="149">
        <f>AVERAGE(R31:S31)/(SUM(G8:G12))*365</f>
        <v>49.076799877974373</v>
      </c>
      <c r="T80" s="149">
        <f>AVERAGE(S31:T31)/(SUM(H8:H12))*365</f>
        <v>42.540218247271909</v>
      </c>
      <c r="U80" s="149">
        <f>AVERAGE(T31:U31)/(SUM(I8:I12))*365</f>
        <v>42.540130362875765</v>
      </c>
      <c r="V80" s="149">
        <f>AVERAGE(U31:V31)/(SUM(J8:J12))*365</f>
        <v>47.130104799852027</v>
      </c>
      <c r="W80" s="156" t="s">
        <v>151</v>
      </c>
    </row>
    <row r="81" spans="12:23">
      <c r="L81" s="43"/>
      <c r="M81" s="148" t="s">
        <v>82</v>
      </c>
      <c r="N81" s="149"/>
      <c r="O81" s="149">
        <f t="shared" ref="O81:V81" si="48">AVERAGE(N46:O46)/(SUM(C8:C12))*365</f>
        <v>40.681352723859973</v>
      </c>
      <c r="P81" s="149">
        <f t="shared" si="48"/>
        <v>53.119119807457878</v>
      </c>
      <c r="Q81" s="149">
        <f t="shared" si="48"/>
        <v>65.848949128777363</v>
      </c>
      <c r="R81" s="149">
        <f t="shared" si="48"/>
        <v>43.364836283879058</v>
      </c>
      <c r="S81" s="149">
        <f t="shared" si="48"/>
        <v>57.427928615009151</v>
      </c>
      <c r="T81" s="149">
        <f t="shared" si="48"/>
        <v>52.518281021487233</v>
      </c>
      <c r="U81" s="149">
        <f t="shared" si="48"/>
        <v>46.854509193501315</v>
      </c>
      <c r="V81" s="149">
        <f t="shared" si="48"/>
        <v>43.52765560358926</v>
      </c>
      <c r="W81" s="156" t="s">
        <v>151</v>
      </c>
    </row>
    <row r="82" spans="12:23">
      <c r="L82" s="43"/>
      <c r="M82" s="148" t="s">
        <v>160</v>
      </c>
      <c r="N82" s="148"/>
      <c r="O82" s="148"/>
      <c r="P82" s="148"/>
      <c r="Q82" s="148"/>
      <c r="R82" s="149">
        <f t="shared" ref="R82:V82" si="49">R79+R80-R81</f>
        <v>16.892327253876829</v>
      </c>
      <c r="S82" s="149">
        <f t="shared" si="49"/>
        <v>50.376906138887421</v>
      </c>
      <c r="T82" s="149">
        <f t="shared" si="49"/>
        <v>50.679777736808781</v>
      </c>
      <c r="U82" s="149">
        <f t="shared" si="49"/>
        <v>55.389906150558176</v>
      </c>
      <c r="V82" s="149">
        <f t="shared" si="49"/>
        <v>71.037617525974895</v>
      </c>
      <c r="W82" s="156" t="s">
        <v>151</v>
      </c>
    </row>
    <row r="83" spans="12:23">
      <c r="L83" s="43"/>
      <c r="M83" s="148" t="s">
        <v>84</v>
      </c>
      <c r="N83" s="148"/>
      <c r="O83" s="148"/>
      <c r="P83" s="148"/>
      <c r="Q83" s="148"/>
      <c r="R83" s="149">
        <f>AVERAGE(Q53:R53)/F4*365</f>
        <v>29.220221606648199</v>
      </c>
      <c r="S83" s="149">
        <f>AVERAGE(R53:S53)/G4*365</f>
        <v>43.158618376928231</v>
      </c>
      <c r="T83" s="149">
        <f>AVERAGE(S53:T53)/H4*365</f>
        <v>30.046878219657945</v>
      </c>
      <c r="U83" s="149">
        <f>AVERAGE(T53:U53)/I4*365</f>
        <v>20.432133082449539</v>
      </c>
      <c r="V83" s="149">
        <f>AVERAGE(U53:V53)/J4*365</f>
        <v>30.512595931900194</v>
      </c>
      <c r="W83" s="156" t="s">
        <v>151</v>
      </c>
    </row>
    <row r="84" spans="12:23">
      <c r="L84" s="43"/>
      <c r="M84" s="148" t="s">
        <v>161</v>
      </c>
      <c r="N84" s="148"/>
      <c r="O84" s="148"/>
      <c r="P84" s="148"/>
      <c r="Q84" s="148"/>
      <c r="R84" s="149">
        <f>(F21+F19)/F19</f>
        <v>1.5740181268882176</v>
      </c>
      <c r="S84" s="149">
        <f>(G21+G19)/G19</f>
        <v>2.459227467811159</v>
      </c>
      <c r="T84" s="149">
        <f>(H21+H19)/H19</f>
        <v>1.4128787878787878</v>
      </c>
      <c r="U84" s="149">
        <f>(I21+I19)/I19</f>
        <v>2.0210843373493974</v>
      </c>
      <c r="V84" s="149">
        <f>(J21+J19)/J19</f>
        <v>4.6518665607625067</v>
      </c>
      <c r="W84" s="156" t="s">
        <v>151</v>
      </c>
    </row>
    <row r="86" spans="12:23">
      <c r="N86" s="57"/>
      <c r="O86" s="57"/>
      <c r="P86" s="57"/>
      <c r="Q86" s="57"/>
      <c r="R86" s="57"/>
      <c r="S86" s="58"/>
      <c r="T86" s="58"/>
      <c r="U86" s="58"/>
    </row>
    <row r="87" spans="12:23">
      <c r="N87" s="57"/>
      <c r="O87" s="57"/>
      <c r="P87" s="57"/>
      <c r="Q87" s="57"/>
      <c r="R87" s="57"/>
      <c r="S87" s="57"/>
      <c r="T87" s="57"/>
      <c r="U87" s="57"/>
    </row>
    <row r="88" spans="12:23" hidden="1"/>
    <row r="89" spans="12:23" hidden="1"/>
  </sheetData>
  <mergeCells count="6">
    <mergeCell ref="A51:K51"/>
    <mergeCell ref="A56:K56"/>
    <mergeCell ref="A2:K2"/>
    <mergeCell ref="M2:W2"/>
    <mergeCell ref="A1:W1"/>
    <mergeCell ref="A43:K43"/>
  </mergeCells>
  <phoneticPr fontId="16" type="noConversion"/>
  <printOptions horizontalCentered="1" verticalCentered="1"/>
  <pageMargins left="0" right="0" top="0.19685039370078741" bottom="0" header="0" footer="0"/>
  <pageSetup paperSize="4" scale="48" orientation="landscape" horizontalDpi="1200" verticalDpi="1200" r:id="rId1"/>
  <ignoredErrors>
    <ignoredError sqref="S10:U10 F49 D49:E49 G49:K49"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Md Amir</cp:lastModifiedBy>
  <cp:lastPrinted>2023-01-09T10:48:40Z</cp:lastPrinted>
  <dcterms:created xsi:type="dcterms:W3CDTF">2021-01-27T07:46:46Z</dcterms:created>
  <dcterms:modified xsi:type="dcterms:W3CDTF">2025-02-24T11:10:59Z</dcterms:modified>
</cp:coreProperties>
</file>