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Harshit\Work\Valorem\Dtd. 20-02-25\Summary Sheet\Q3-FY25\BWR\"/>
    </mc:Choice>
  </mc:AlternateContent>
  <xr:revisionPtr revIDLastSave="0" documentId="8_{51B2F330-EB54-434C-A27E-F6EA030497D6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  <sheet name="Peer Sheet" sheetId="11" state="hidden" r:id="rId3"/>
  </sheets>
  <externalReferences>
    <externalReference r:id="rId4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25" i="1"/>
  <c r="K23" i="1"/>
  <c r="K21" i="1"/>
  <c r="K14" i="1"/>
  <c r="K13" i="1"/>
  <c r="K6" i="1"/>
  <c r="K60" i="1"/>
  <c r="W60" i="1"/>
  <c r="K58" i="1"/>
  <c r="W63" i="1" l="1"/>
  <c r="W51" i="1"/>
  <c r="W25" i="1"/>
  <c r="W9" i="1"/>
  <c r="W5" i="1"/>
  <c r="W11" i="1" s="1"/>
  <c r="K54" i="1" l="1"/>
  <c r="K53" i="1"/>
  <c r="W71" i="1" l="1"/>
  <c r="W45" i="1" l="1"/>
  <c r="W35" i="1"/>
  <c r="K55" i="1"/>
  <c r="K49" i="1"/>
  <c r="W56" i="1" l="1"/>
  <c r="W12" i="1" s="1"/>
  <c r="W46" i="1"/>
  <c r="W55" i="1"/>
  <c r="J29" i="1"/>
  <c r="K29" i="1"/>
  <c r="K26" i="1" l="1"/>
  <c r="U74" i="1"/>
  <c r="V72" i="1"/>
  <c r="U72" i="1"/>
  <c r="K30" i="1" l="1"/>
  <c r="U22" i="1"/>
  <c r="K35" i="1" l="1"/>
  <c r="U40" i="1"/>
  <c r="U25" i="1"/>
  <c r="V73" i="1" l="1"/>
  <c r="V22" i="1"/>
  <c r="V25" i="1" s="1"/>
  <c r="V35" i="1"/>
  <c r="V40" i="1"/>
  <c r="J13" i="1" l="1"/>
  <c r="J21" i="1" s="1"/>
  <c r="J6" i="1"/>
  <c r="I6" i="1"/>
  <c r="T35" i="1"/>
  <c r="S35" i="1"/>
  <c r="J58" i="1"/>
  <c r="J41" i="1" l="1"/>
  <c r="J42" i="1"/>
  <c r="J4" i="1"/>
  <c r="J5" i="1"/>
  <c r="V66" i="1"/>
  <c r="V74" i="1"/>
  <c r="J54" i="1" l="1"/>
  <c r="V63" i="1" l="1"/>
  <c r="U60" i="1"/>
  <c r="S72" i="1"/>
  <c r="J49" i="1"/>
  <c r="J50" i="1" s="1"/>
  <c r="K45" i="1" s="1"/>
  <c r="K50" i="1" s="1"/>
  <c r="J60" i="1" l="1"/>
  <c r="F54" i="1" l="1"/>
  <c r="I54" i="1"/>
  <c r="J53" i="1"/>
  <c r="J55" i="1" s="1"/>
  <c r="J62" i="1"/>
  <c r="V71" i="1"/>
  <c r="U66" i="1"/>
  <c r="U71" i="1"/>
  <c r="T60" i="1"/>
  <c r="V51" i="1"/>
  <c r="U51" i="1"/>
  <c r="V45" i="1"/>
  <c r="V46" i="1" s="1"/>
  <c r="U35" i="1"/>
  <c r="U56" i="1" s="1"/>
  <c r="V56" i="1"/>
  <c r="V9" i="1"/>
  <c r="I13" i="1"/>
  <c r="I21" i="1" s="1"/>
  <c r="I23" i="1" s="1"/>
  <c r="U63" i="1"/>
  <c r="I42" i="1"/>
  <c r="H42" i="1"/>
  <c r="T63" i="1"/>
  <c r="I60" i="1"/>
  <c r="V75" i="1"/>
  <c r="I5" i="1"/>
  <c r="I62" i="1"/>
  <c r="I53" i="1"/>
  <c r="I49" i="1"/>
  <c r="T62" i="1"/>
  <c r="T71" i="1" s="1"/>
  <c r="U9" i="1"/>
  <c r="I61" i="1" s="1"/>
  <c r="U5" i="1"/>
  <c r="I41" i="1"/>
  <c r="I29" i="1"/>
  <c r="I4" i="1"/>
  <c r="H13" i="1"/>
  <c r="D6" i="1"/>
  <c r="E6" i="1"/>
  <c r="F6" i="1"/>
  <c r="G6" i="1"/>
  <c r="H6" i="1"/>
  <c r="C6" i="1"/>
  <c r="T40" i="1"/>
  <c r="U73" i="1" s="1"/>
  <c r="T18" i="1"/>
  <c r="T17" i="1"/>
  <c r="T72" i="1"/>
  <c r="T74" i="1"/>
  <c r="H41" i="1"/>
  <c r="H4" i="1"/>
  <c r="H5" i="1"/>
  <c r="H54" i="1"/>
  <c r="H49" i="1"/>
  <c r="C49" i="1"/>
  <c r="E19" i="11"/>
  <c r="D19" i="11"/>
  <c r="E28" i="11"/>
  <c r="E25" i="11" s="1"/>
  <c r="D28" i="11"/>
  <c r="D25" i="11" s="1"/>
  <c r="E7" i="11"/>
  <c r="D49" i="11"/>
  <c r="D16" i="11"/>
  <c r="E16" i="11"/>
  <c r="D10" i="11"/>
  <c r="E10" i="11"/>
  <c r="I49" i="11"/>
  <c r="H49" i="11"/>
  <c r="G49" i="11"/>
  <c r="F49" i="11"/>
  <c r="C49" i="11"/>
  <c r="B49" i="11"/>
  <c r="K46" i="11"/>
  <c r="J46" i="11"/>
  <c r="I46" i="11"/>
  <c r="H46" i="11"/>
  <c r="G46" i="11"/>
  <c r="F46" i="11"/>
  <c r="E46" i="11"/>
  <c r="D46" i="11"/>
  <c r="C46" i="11"/>
  <c r="B46" i="11"/>
  <c r="K40" i="11"/>
  <c r="J40" i="11"/>
  <c r="I40" i="11"/>
  <c r="H40" i="11"/>
  <c r="G40" i="11"/>
  <c r="F40" i="11"/>
  <c r="E40" i="11"/>
  <c r="D40" i="11"/>
  <c r="C40" i="11"/>
  <c r="B40" i="11"/>
  <c r="K38" i="11"/>
  <c r="K39" i="11" s="1"/>
  <c r="K33" i="11" s="1"/>
  <c r="J38" i="11"/>
  <c r="J39" i="11" s="1"/>
  <c r="J33" i="11" s="1"/>
  <c r="I38" i="11"/>
  <c r="I39" i="11" s="1"/>
  <c r="I33" i="11" s="1"/>
  <c r="H38" i="11"/>
  <c r="H39" i="11" s="1"/>
  <c r="H33" i="11" s="1"/>
  <c r="G38" i="11"/>
  <c r="G39" i="11" s="1"/>
  <c r="G33" i="11" s="1"/>
  <c r="F38" i="11"/>
  <c r="F39" i="11" s="1"/>
  <c r="F33" i="11" s="1"/>
  <c r="E38" i="11"/>
  <c r="D38" i="11"/>
  <c r="C38" i="11"/>
  <c r="C39" i="11" s="1"/>
  <c r="C33" i="11" s="1"/>
  <c r="B38" i="11"/>
  <c r="B39" i="11" s="1"/>
  <c r="B33" i="11" s="1"/>
  <c r="K31" i="11"/>
  <c r="J31" i="11"/>
  <c r="I31" i="11"/>
  <c r="H31" i="11"/>
  <c r="G31" i="11"/>
  <c r="F31" i="11"/>
  <c r="E31" i="11"/>
  <c r="D31" i="11"/>
  <c r="C31" i="11"/>
  <c r="B31" i="11"/>
  <c r="J25" i="11"/>
  <c r="K25" i="11"/>
  <c r="I25" i="11"/>
  <c r="H25" i="11"/>
  <c r="G25" i="11"/>
  <c r="F25" i="11"/>
  <c r="C25" i="11"/>
  <c r="B25" i="11"/>
  <c r="K16" i="11"/>
  <c r="K50" i="11" s="1"/>
  <c r="J16" i="11"/>
  <c r="J50" i="11" s="1"/>
  <c r="I16" i="11"/>
  <c r="I47" i="11" s="1"/>
  <c r="H16" i="11"/>
  <c r="H47" i="11" s="1"/>
  <c r="G16" i="11"/>
  <c r="G48" i="11" s="1"/>
  <c r="F16" i="11"/>
  <c r="F48" i="11" s="1"/>
  <c r="C16" i="11"/>
  <c r="C50" i="11" s="1"/>
  <c r="B16" i="11"/>
  <c r="B50" i="11" s="1"/>
  <c r="K10" i="11"/>
  <c r="J10" i="11"/>
  <c r="I10" i="11"/>
  <c r="H10" i="11"/>
  <c r="G10" i="11"/>
  <c r="F10" i="11"/>
  <c r="C10" i="11"/>
  <c r="B10" i="11"/>
  <c r="K7" i="11"/>
  <c r="J7" i="11"/>
  <c r="I7" i="11"/>
  <c r="H7" i="11"/>
  <c r="G7" i="11"/>
  <c r="F7" i="11"/>
  <c r="C7" i="11"/>
  <c r="B7" i="11"/>
  <c r="K49" i="11"/>
  <c r="J49" i="11"/>
  <c r="E49" i="11"/>
  <c r="J61" i="1" l="1"/>
  <c r="V77" i="1"/>
  <c r="V55" i="1"/>
  <c r="U61" i="1"/>
  <c r="U64" i="1" s="1"/>
  <c r="I26" i="1"/>
  <c r="J15" i="1"/>
  <c r="J63" i="1"/>
  <c r="V65" i="1" s="1"/>
  <c r="V70" i="1"/>
  <c r="V69" i="1"/>
  <c r="U45" i="1"/>
  <c r="U46" i="1" s="1"/>
  <c r="V12" i="1"/>
  <c r="V11" i="1"/>
  <c r="V61" i="1"/>
  <c r="V64" i="1" s="1"/>
  <c r="J14" i="1"/>
  <c r="E26" i="11"/>
  <c r="E34" i="11" s="1"/>
  <c r="I26" i="11"/>
  <c r="I34" i="11" s="1"/>
  <c r="T73" i="1"/>
  <c r="T75" i="1" s="1"/>
  <c r="U75" i="1"/>
  <c r="T66" i="1"/>
  <c r="I55" i="1"/>
  <c r="U77" i="1"/>
  <c r="I63" i="1"/>
  <c r="U65" i="1" s="1"/>
  <c r="U69" i="1"/>
  <c r="U70" i="1"/>
  <c r="U11" i="1"/>
  <c r="I14" i="1"/>
  <c r="I15" i="1"/>
  <c r="C26" i="11"/>
  <c r="C34" i="11" s="1"/>
  <c r="C41" i="11"/>
  <c r="C47" i="11"/>
  <c r="H14" i="1"/>
  <c r="T25" i="1"/>
  <c r="E39" i="11"/>
  <c r="E33" i="11" s="1"/>
  <c r="D39" i="11"/>
  <c r="D33" i="11" s="1"/>
  <c r="D26" i="11"/>
  <c r="D34" i="11" s="1"/>
  <c r="E41" i="11"/>
  <c r="E47" i="11"/>
  <c r="D7" i="11"/>
  <c r="B26" i="11"/>
  <c r="B34" i="11" s="1"/>
  <c r="B48" i="11"/>
  <c r="B41" i="11"/>
  <c r="J26" i="11"/>
  <c r="J34" i="11" s="1"/>
  <c r="K47" i="11"/>
  <c r="K26" i="11"/>
  <c r="K34" i="11" s="1"/>
  <c r="J48" i="11"/>
  <c r="J47" i="11"/>
  <c r="K48" i="11"/>
  <c r="G41" i="11"/>
  <c r="E48" i="11"/>
  <c r="F26" i="11"/>
  <c r="F34" i="11" s="1"/>
  <c r="J41" i="11"/>
  <c r="B47" i="11"/>
  <c r="H48" i="11"/>
  <c r="D50" i="11"/>
  <c r="E50" i="11"/>
  <c r="C48" i="11"/>
  <c r="G26" i="11"/>
  <c r="G34" i="11" s="1"/>
  <c r="K41" i="11"/>
  <c r="I48" i="11"/>
  <c r="H26" i="11"/>
  <c r="H34" i="11" s="1"/>
  <c r="D41" i="11"/>
  <c r="D47" i="11"/>
  <c r="F50" i="11"/>
  <c r="G50" i="11"/>
  <c r="F41" i="11"/>
  <c r="F47" i="11"/>
  <c r="D48" i="11"/>
  <c r="H50" i="11"/>
  <c r="I50" i="11"/>
  <c r="H41" i="11"/>
  <c r="G47" i="11"/>
  <c r="I41" i="11"/>
  <c r="U55" i="1" l="1"/>
  <c r="J23" i="1"/>
  <c r="J26" i="1" s="1"/>
  <c r="U12" i="1"/>
  <c r="U68" i="1" s="1"/>
  <c r="V76" i="1"/>
  <c r="V68" i="1"/>
  <c r="V78" i="1"/>
  <c r="J25" i="1"/>
  <c r="U78" i="1"/>
  <c r="I25" i="1"/>
  <c r="O72" i="1"/>
  <c r="D54" i="1"/>
  <c r="E54" i="1"/>
  <c r="G54" i="1"/>
  <c r="C54" i="1"/>
  <c r="P17" i="1"/>
  <c r="O17" i="1"/>
  <c r="N5" i="1"/>
  <c r="O5" i="1"/>
  <c r="P5" i="1"/>
  <c r="Q5" i="1"/>
  <c r="R5" i="1"/>
  <c r="S5" i="1"/>
  <c r="T5" i="1"/>
  <c r="T61" i="1" s="1"/>
  <c r="B13" i="1"/>
  <c r="J30" i="1" l="1"/>
  <c r="J35" i="1" s="1"/>
  <c r="J32" i="1"/>
  <c r="I30" i="1"/>
  <c r="H62" i="1"/>
  <c r="H60" i="1"/>
  <c r="H53" i="1"/>
  <c r="J31" i="1" l="1"/>
  <c r="V67" i="1"/>
  <c r="U67" i="1"/>
  <c r="I35" i="1"/>
  <c r="I31" i="1"/>
  <c r="H55" i="1"/>
  <c r="H29" i="1"/>
  <c r="H21" i="1"/>
  <c r="T78" i="1" l="1"/>
  <c r="H23" i="1"/>
  <c r="H26" i="1" s="1"/>
  <c r="I32" i="1" s="1"/>
  <c r="J36" i="1"/>
  <c r="H25" i="1"/>
  <c r="H30" i="1" l="1"/>
  <c r="H35" i="1" l="1"/>
  <c r="H31" i="1"/>
  <c r="T67" i="1"/>
  <c r="T51" i="1"/>
  <c r="T45" i="1"/>
  <c r="T9" i="1"/>
  <c r="I36" i="1" l="1"/>
  <c r="T70" i="1"/>
  <c r="T77" i="1"/>
  <c r="T69" i="1"/>
  <c r="H61" i="1"/>
  <c r="H63" i="1" s="1"/>
  <c r="T65" i="1" s="1"/>
  <c r="T11" i="1"/>
  <c r="T64" i="1"/>
  <c r="T46" i="1"/>
  <c r="U76" i="1" s="1"/>
  <c r="T56" i="1"/>
  <c r="T12" i="1" s="1"/>
  <c r="T55" i="1"/>
  <c r="T81" i="1" l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T82" i="1" l="1"/>
  <c r="T68" i="1"/>
  <c r="C13" i="10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F29" i="1" l="1"/>
  <c r="S74" i="1"/>
  <c r="S73" i="1"/>
  <c r="S62" i="1"/>
  <c r="S66" i="1"/>
  <c r="G42" i="1"/>
  <c r="G41" i="1"/>
  <c r="G5" i="1"/>
  <c r="G4" i="1"/>
  <c r="S71" i="1" l="1"/>
  <c r="S75" i="1"/>
  <c r="R66" i="1" l="1"/>
  <c r="Q66" i="1"/>
  <c r="P66" i="1"/>
  <c r="O66" i="1"/>
  <c r="Q74" i="1" l="1"/>
  <c r="P74" i="1"/>
  <c r="O74" i="1"/>
  <c r="Q73" i="1"/>
  <c r="P73" i="1"/>
  <c r="O73" i="1"/>
  <c r="R74" i="1"/>
  <c r="R73" i="1"/>
  <c r="O75" i="1" l="1"/>
  <c r="O62" i="1"/>
  <c r="O71" i="1" s="1"/>
  <c r="N62" i="1"/>
  <c r="N71" i="1" s="1"/>
  <c r="P62" i="1"/>
  <c r="Q62" i="1"/>
  <c r="R62" i="1"/>
  <c r="R71" i="1" s="1"/>
  <c r="P72" i="1"/>
  <c r="Q72" i="1"/>
  <c r="Q75" i="1" s="1"/>
  <c r="R72" i="1"/>
  <c r="R75" i="1" s="1"/>
  <c r="R60" i="1"/>
  <c r="R63" i="1" s="1"/>
  <c r="Q60" i="1"/>
  <c r="Q63" i="1" s="1"/>
  <c r="P60" i="1"/>
  <c r="P63" i="1" s="1"/>
  <c r="O60" i="1"/>
  <c r="O63" i="1" s="1"/>
  <c r="N60" i="1"/>
  <c r="N63" i="1" s="1"/>
  <c r="S60" i="1"/>
  <c r="S63" i="1" s="1"/>
  <c r="E60" i="1"/>
  <c r="D60" i="1"/>
  <c r="C60" i="1"/>
  <c r="B58" i="1"/>
  <c r="B60" i="1" s="1"/>
  <c r="F60" i="1"/>
  <c r="F53" i="1"/>
  <c r="E53" i="1"/>
  <c r="D53" i="1"/>
  <c r="C53" i="1"/>
  <c r="B53" i="1"/>
  <c r="G53" i="1"/>
  <c r="G60" i="1" l="1"/>
  <c r="P71" i="1"/>
  <c r="P75" i="1"/>
  <c r="Q71" i="1"/>
  <c r="G49" i="1"/>
  <c r="E49" i="1"/>
  <c r="D49" i="1"/>
  <c r="B49" i="1"/>
  <c r="F42" i="1"/>
  <c r="E42" i="1"/>
  <c r="E5" i="1"/>
  <c r="F5" i="1"/>
  <c r="F49" i="1" l="1"/>
  <c r="G55" i="1" l="1"/>
  <c r="F55" i="1"/>
  <c r="E55" i="1"/>
  <c r="D55" i="1"/>
  <c r="C55" i="1"/>
  <c r="B55" i="1"/>
  <c r="B50" i="1"/>
  <c r="B14" i="1"/>
  <c r="C4" i="1"/>
  <c r="E41" i="1"/>
  <c r="D41" i="1"/>
  <c r="F41" i="1"/>
  <c r="E4" i="1"/>
  <c r="D4" i="1"/>
  <c r="F4" i="1"/>
  <c r="F13" i="1"/>
  <c r="I16" i="1" s="1"/>
  <c r="E13" i="1"/>
  <c r="H16" i="1" s="1"/>
  <c r="D13" i="1"/>
  <c r="C13" i="1"/>
  <c r="C21" i="1" s="1"/>
  <c r="C23" i="1" s="1"/>
  <c r="C26" i="1" s="1"/>
  <c r="C50" i="1" l="1"/>
  <c r="D45" i="1" s="1"/>
  <c r="B62" i="1"/>
  <c r="O78" i="1"/>
  <c r="D14" i="1"/>
  <c r="E14" i="1"/>
  <c r="E16" i="1"/>
  <c r="F14" i="1"/>
  <c r="F16" i="1"/>
  <c r="B21" i="1"/>
  <c r="C14" i="1"/>
  <c r="C15" i="1" s="1"/>
  <c r="F15" i="1"/>
  <c r="D21" i="1"/>
  <c r="D23" i="1" s="1"/>
  <c r="D26" i="1" s="1"/>
  <c r="F21" i="1"/>
  <c r="F23" i="1" s="1"/>
  <c r="F26" i="1" s="1"/>
  <c r="E21" i="1"/>
  <c r="E23" i="1" s="1"/>
  <c r="E26" i="1" s="1"/>
  <c r="D50" i="1" l="1"/>
  <c r="E45" i="1" s="1"/>
  <c r="C62" i="1"/>
  <c r="E15" i="1"/>
  <c r="P78" i="1"/>
  <c r="R78" i="1"/>
  <c r="N78" i="1"/>
  <c r="Q78" i="1"/>
  <c r="D15" i="1"/>
  <c r="E50" i="1" l="1"/>
  <c r="F45" i="1" s="1"/>
  <c r="D62" i="1"/>
  <c r="G13" i="1"/>
  <c r="J16" i="1" s="1"/>
  <c r="H15" i="1" l="1"/>
  <c r="F50" i="1"/>
  <c r="G45" i="1" s="1"/>
  <c r="E62" i="1"/>
  <c r="G21" i="1"/>
  <c r="G16" i="1"/>
  <c r="G15" i="1"/>
  <c r="C25" i="1"/>
  <c r="B26" i="1"/>
  <c r="B31" i="1" s="1"/>
  <c r="B25" i="1"/>
  <c r="G14" i="1"/>
  <c r="N9" i="1"/>
  <c r="O9" i="1"/>
  <c r="P9" i="1"/>
  <c r="G25" i="1" l="1"/>
  <c r="G23" i="1"/>
  <c r="G26" i="1" s="1"/>
  <c r="G50" i="1"/>
  <c r="H45" i="1" s="1"/>
  <c r="H50" i="1" s="1"/>
  <c r="I45" i="1" s="1"/>
  <c r="I50" i="1" s="1"/>
  <c r="F62" i="1"/>
  <c r="S78" i="1"/>
  <c r="B29" i="1"/>
  <c r="B30" i="1" s="1"/>
  <c r="G29" i="1"/>
  <c r="C29" i="1"/>
  <c r="C30" i="1" s="1"/>
  <c r="C61" i="1"/>
  <c r="C63" i="1" s="1"/>
  <c r="O65" i="1" s="1"/>
  <c r="O77" i="1"/>
  <c r="B61" i="1"/>
  <c r="B63" i="1" s="1"/>
  <c r="N65" i="1" s="1"/>
  <c r="N77" i="1"/>
  <c r="D61" i="1"/>
  <c r="D63" i="1" s="1"/>
  <c r="P65" i="1" s="1"/>
  <c r="P77" i="1"/>
  <c r="B35" i="1"/>
  <c r="H32" i="1" l="1"/>
  <c r="G30" i="1"/>
  <c r="G62" i="1"/>
  <c r="C31" i="1"/>
  <c r="C32" i="1" s="1"/>
  <c r="C35" i="1"/>
  <c r="C36" i="1" s="1"/>
  <c r="G31" i="1" l="1"/>
  <c r="J33" i="1"/>
  <c r="G35" i="1"/>
  <c r="J37" i="1" s="1"/>
  <c r="P51" i="1"/>
  <c r="O51" i="1"/>
  <c r="N51" i="1"/>
  <c r="N11" i="1" s="1"/>
  <c r="P35" i="1"/>
  <c r="O35" i="1"/>
  <c r="N35" i="1"/>
  <c r="P45" i="1"/>
  <c r="O45" i="1"/>
  <c r="N45" i="1"/>
  <c r="P25" i="1"/>
  <c r="O25" i="1"/>
  <c r="N25" i="1"/>
  <c r="O67" i="1"/>
  <c r="H36" i="1" l="1"/>
  <c r="O56" i="1"/>
  <c r="O12" i="1" s="1"/>
  <c r="O68" i="1" s="1"/>
  <c r="P56" i="1"/>
  <c r="O55" i="1"/>
  <c r="P55" i="1"/>
  <c r="N46" i="1"/>
  <c r="P61" i="1"/>
  <c r="P64" i="1" s="1"/>
  <c r="P69" i="1"/>
  <c r="P70" i="1"/>
  <c r="N61" i="1"/>
  <c r="N64" i="1" s="1"/>
  <c r="N70" i="1"/>
  <c r="N69" i="1"/>
  <c r="N67" i="1"/>
  <c r="O61" i="1"/>
  <c r="O64" i="1" s="1"/>
  <c r="O69" i="1"/>
  <c r="O70" i="1"/>
  <c r="O46" i="1"/>
  <c r="P46" i="1"/>
  <c r="E33" i="1"/>
  <c r="E25" i="1"/>
  <c r="G33" i="1"/>
  <c r="D25" i="1"/>
  <c r="F25" i="1"/>
  <c r="P11" i="1"/>
  <c r="O11" i="1"/>
  <c r="N56" i="1"/>
  <c r="N12" i="1" s="1"/>
  <c r="N68" i="1" s="1"/>
  <c r="N55" i="1"/>
  <c r="S45" i="1"/>
  <c r="S25" i="1"/>
  <c r="S51" i="1" s="1"/>
  <c r="S9" i="1"/>
  <c r="S61" i="1"/>
  <c r="F30" i="1" l="1"/>
  <c r="I33" i="1" s="1"/>
  <c r="S55" i="1"/>
  <c r="S11" i="1"/>
  <c r="S67" i="1"/>
  <c r="S56" i="1"/>
  <c r="S12" i="1" s="1"/>
  <c r="S68" i="1" s="1"/>
  <c r="P76" i="1"/>
  <c r="G32" i="1"/>
  <c r="S77" i="1"/>
  <c r="G61" i="1"/>
  <c r="G63" i="1" s="1"/>
  <c r="S65" i="1" s="1"/>
  <c r="S70" i="1"/>
  <c r="S69" i="1"/>
  <c r="S64" i="1"/>
  <c r="E29" i="1"/>
  <c r="E30" i="1" s="1"/>
  <c r="H33" i="1" s="1"/>
  <c r="S46" i="1"/>
  <c r="T76" i="1" s="1"/>
  <c r="O76" i="1"/>
  <c r="F32" i="1"/>
  <c r="F33" i="1"/>
  <c r="P81" i="1"/>
  <c r="O82" i="1"/>
  <c r="O81" i="1"/>
  <c r="P12" i="1"/>
  <c r="N81" i="1"/>
  <c r="N82" i="1"/>
  <c r="R35" i="1"/>
  <c r="Q35" i="1"/>
  <c r="Q25" i="1"/>
  <c r="R25" i="1"/>
  <c r="F35" i="1" l="1"/>
  <c r="I37" i="1" s="1"/>
  <c r="F31" i="1"/>
  <c r="R56" i="1"/>
  <c r="Q56" i="1"/>
  <c r="E31" i="1"/>
  <c r="E35" i="1"/>
  <c r="H37" i="1" s="1"/>
  <c r="D29" i="1"/>
  <c r="D30" i="1" s="1"/>
  <c r="P82" i="1"/>
  <c r="P68" i="1"/>
  <c r="S82" i="1"/>
  <c r="S81" i="1"/>
  <c r="R9" i="1"/>
  <c r="Q9" i="1"/>
  <c r="F37" i="1" l="1"/>
  <c r="G36" i="1"/>
  <c r="F36" i="1"/>
  <c r="E37" i="1"/>
  <c r="D31" i="1"/>
  <c r="D32" i="1" s="1"/>
  <c r="P67" i="1"/>
  <c r="D35" i="1"/>
  <c r="E61" i="1"/>
  <c r="E63" i="1" s="1"/>
  <c r="Q65" i="1" s="1"/>
  <c r="Q77" i="1"/>
  <c r="F61" i="1"/>
  <c r="F63" i="1" s="1"/>
  <c r="R65" i="1" s="1"/>
  <c r="R77" i="1"/>
  <c r="Q45" i="1"/>
  <c r="R45" i="1"/>
  <c r="Q51" i="1"/>
  <c r="R51" i="1"/>
  <c r="R67" i="1"/>
  <c r="Q67" i="1"/>
  <c r="Q55" i="1" l="1"/>
  <c r="Q81" i="1" s="1"/>
  <c r="E32" i="1"/>
  <c r="G37" i="1"/>
  <c r="D36" i="1"/>
  <c r="E36" i="1"/>
  <c r="Q69" i="1"/>
  <c r="R55" i="1"/>
  <c r="R81" i="1" s="1"/>
  <c r="R69" i="1"/>
  <c r="Q70" i="1"/>
  <c r="R70" i="1"/>
  <c r="Q61" i="1"/>
  <c r="Q64" i="1" s="1"/>
  <c r="R61" i="1"/>
  <c r="R64" i="1" s="1"/>
  <c r="R12" i="1"/>
  <c r="R68" i="1" s="1"/>
  <c r="R46" i="1"/>
  <c r="S76" i="1" s="1"/>
  <c r="Q12" i="1"/>
  <c r="Q68" i="1" s="1"/>
  <c r="Q46" i="1"/>
  <c r="Q11" i="1"/>
  <c r="R11" i="1"/>
  <c r="R82" i="1" l="1"/>
  <c r="R76" i="1"/>
  <c r="Q76" i="1"/>
  <c r="Q82" i="1"/>
</calcChain>
</file>

<file path=xl/sharedStrings.xml><?xml version="1.0" encoding="utf-8"?>
<sst xmlns="http://schemas.openxmlformats.org/spreadsheetml/2006/main" count="329" uniqueCount="186">
  <si>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</si>
  <si>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</si>
  <si>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</si>
  <si>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</si>
  <si>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</si>
  <si>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</si>
  <si>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</si>
  <si>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</si>
  <si>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</si>
  <si>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</si>
  <si>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Capital work-in-progress</t>
  </si>
  <si>
    <t>Financial assets</t>
  </si>
  <si>
    <t>Other financial assets</t>
  </si>
  <si>
    <t>Other non-current assets</t>
  </si>
  <si>
    <t>CURRENT ASSETS, LOANS &amp; ADVANCES</t>
  </si>
  <si>
    <t>Inventories</t>
  </si>
  <si>
    <t>Trade Receivable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</si>
  <si>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</si>
  <si>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</si>
  <si>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</si>
  <si>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</si>
  <si>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</si>
  <si>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</si>
  <si>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</si>
  <si>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TOTAL ASSETS</t>
  </si>
  <si>
    <t>TOTAL LIABILITIES</t>
  </si>
  <si>
    <t>Total Loans</t>
  </si>
  <si>
    <t>Other Non Current liabilities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</si>
  <si>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</si>
  <si>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</si>
  <si>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</si>
  <si>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</si>
  <si>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</si>
  <si>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</si>
  <si>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</si>
  <si>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</t>
  </si>
  <si>
    <t>Check II</t>
  </si>
  <si>
    <t>FY18</t>
  </si>
  <si>
    <t>FY16</t>
  </si>
  <si>
    <t>FY17</t>
  </si>
  <si>
    <t>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</si>
  <si>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</si>
  <si>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</si>
  <si>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</si>
  <si>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</si>
  <si>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</si>
  <si>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</si>
  <si>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</si>
  <si>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</si>
  <si>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</si>
  <si>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</si>
  <si>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</si>
  <si>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</si>
  <si>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</si>
  <si>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</si>
  <si>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</si>
  <si>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</si>
  <si>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</si>
  <si>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</si>
  <si>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</si>
  <si>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</si>
  <si>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</si>
  <si>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</si>
  <si>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</si>
  <si>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</si>
  <si>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</si>
  <si>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</si>
  <si>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</si>
  <si>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</si>
  <si>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</si>
  <si>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</si>
  <si>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</si>
  <si>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</si>
  <si>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</si>
  <si>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</si>
  <si>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</si>
  <si>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</si>
  <si>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</si>
  <si>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</si>
  <si>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</si>
  <si>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</si>
  <si>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</si>
  <si>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</si>
  <si>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</si>
  <si>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</si>
  <si>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</si>
  <si>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</si>
  <si>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</si>
  <si>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</si>
  <si>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</si>
  <si>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</si>
  <si>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</si>
  <si>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</si>
  <si>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</si>
  <si>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</si>
  <si>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</si>
  <si>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</si>
  <si>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</si>
  <si>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</si>
  <si>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</si>
  <si>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</si>
  <si>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</si>
  <si>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</si>
  <si>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</si>
  <si>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</si>
  <si>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</si>
  <si>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</si>
  <si>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</si>
  <si>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</si>
  <si>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</si>
  <si>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</si>
  <si>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</si>
  <si>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</si>
  <si>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</si>
  <si>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</si>
  <si>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</si>
  <si>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</si>
  <si>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</si>
  <si>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</si>
  <si>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</si>
  <si>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</si>
  <si>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</si>
  <si>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</si>
  <si>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</si>
  <si>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</si>
  <si>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</si>
  <si>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</si>
  <si>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</si>
  <si>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</si>
  <si>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</si>
  <si>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</si>
  <si>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</si>
  <si>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</si>
  <si>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</si>
  <si>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</si>
  <si>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</si>
  <si>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</si>
  <si>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</si>
  <si>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</si>
  <si>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</si>
  <si>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</si>
  <si>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</si>
  <si>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</si>
  <si>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</si>
  <si>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</si>
  <si>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</si>
  <si>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</si>
  <si>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</si>
  <si>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</si>
  <si>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Purchase of Trade Goods</t>
  </si>
  <si>
    <t>Long Term Provision</t>
  </si>
  <si>
    <t>Other Equity</t>
  </si>
  <si>
    <t>Other Financial Assets</t>
  </si>
  <si>
    <t>Bharat Wire Ropes Ltd.</t>
  </si>
  <si>
    <t>Deferred Tax Asset (Net)</t>
  </si>
  <si>
    <t>Deferred Tax Liability (Net)</t>
  </si>
  <si>
    <t>Consolidated Figures in INR Mn.</t>
  </si>
  <si>
    <t>FY22</t>
  </si>
  <si>
    <t>Net Sales</t>
  </si>
  <si>
    <t>CFI</t>
  </si>
  <si>
    <t>No. of shares</t>
  </si>
  <si>
    <t>Valuation Comparison</t>
  </si>
  <si>
    <t>Stock P/E</t>
  </si>
  <si>
    <t>Price/Book Value</t>
  </si>
  <si>
    <t>Operational Ratios Comparison</t>
  </si>
  <si>
    <t>CMP</t>
  </si>
  <si>
    <t xml:space="preserve">Book Value </t>
  </si>
  <si>
    <t>Asset Turnover</t>
  </si>
  <si>
    <t>Screener.in</t>
  </si>
  <si>
    <t>BWR</t>
  </si>
  <si>
    <t>Usha Martin</t>
  </si>
  <si>
    <t>Bedmutha Industries</t>
  </si>
  <si>
    <t>D P Wires</t>
  </si>
  <si>
    <t>Shree Steel Wire Ropes</t>
  </si>
  <si>
    <t>Intangible Assets under development</t>
  </si>
  <si>
    <t>FY23</t>
  </si>
  <si>
    <t xml:space="preserve"> </t>
  </si>
  <si>
    <t>Balance Sheet and Mixed Ratios are as per H1 FY24 Result Updates while P&amp;L Ratio is as per 9M FY24 Result Updates</t>
  </si>
  <si>
    <t>FY24</t>
  </si>
  <si>
    <t>Profit Before share of loss of associate</t>
  </si>
  <si>
    <t>Share of Loss of Associate</t>
  </si>
  <si>
    <t>Profit after share of loss of associate</t>
  </si>
  <si>
    <t>TTM</t>
  </si>
  <si>
    <t>H1-FY25</t>
  </si>
  <si>
    <t>NA</t>
  </si>
  <si>
    <t>9M-FY25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</si>
</sst>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0.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MyFirstFont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/>
    <xf numFmtId="0" fontId="3" fillId="0" borderId="0" xfId="0" applyFont="1"/>
    <xf numFmtId="0" fontId="4" fillId="0" borderId="0" xfId="0" applyFont="1"/>
    <xf numFmtId="43" fontId="0" fillId="0" borderId="0" xfId="1" applyFont="1"/>
    <xf numFmtId="43" fontId="0" fillId="0" borderId="0" xfId="0" applyNumberFormat="1"/>
    <xf numFmtId="43" fontId="2" fillId="0" borderId="1" xfId="1" applyFont="1" applyBorder="1"/>
    <xf numFmtId="43" fontId="2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43" fontId="1" fillId="0" borderId="0" xfId="1" applyFont="1" applyBorder="1"/>
    <xf numFmtId="0" fontId="0" fillId="0" borderId="0" xfId="0" applyAlignment="1">
      <alignment horizontal="left"/>
    </xf>
    <xf numFmtId="0" fontId="2" fillId="5" borderId="0" xfId="0" applyFont="1" applyFill="1"/>
    <xf numFmtId="43" fontId="2" fillId="5" borderId="0" xfId="1" applyFont="1" applyFill="1"/>
    <xf numFmtId="43" fontId="2" fillId="5" borderId="2" xfId="1" applyFont="1" applyFill="1" applyBorder="1"/>
    <xf numFmtId="0" fontId="0" fillId="6" borderId="0" xfId="0" applyFill="1"/>
    <xf numFmtId="0" fontId="0" fillId="3" borderId="0" xfId="0" applyFill="1" applyAlignment="1">
      <alignment horizontal="center"/>
    </xf>
    <xf numFmtId="0" fontId="0" fillId="7" borderId="0" xfId="0" applyFill="1"/>
    <xf numFmtId="43" fontId="0" fillId="7" borderId="0" xfId="1" applyFont="1" applyFill="1"/>
    <xf numFmtId="0" fontId="6" fillId="7" borderId="0" xfId="0" applyFont="1" applyFill="1"/>
    <xf numFmtId="165" fontId="6" fillId="7" borderId="0" xfId="2" applyNumberFormat="1" applyFont="1" applyFill="1" applyBorder="1"/>
    <xf numFmtId="43" fontId="6" fillId="7" borderId="0" xfId="1" applyFont="1" applyFill="1"/>
    <xf numFmtId="0" fontId="9" fillId="7" borderId="0" xfId="0" applyFont="1" applyFill="1"/>
    <xf numFmtId="43" fontId="9" fillId="7" borderId="0" xfId="1" applyFont="1" applyFill="1"/>
    <xf numFmtId="43" fontId="7" fillId="7" borderId="0" xfId="1" applyFont="1" applyFill="1"/>
    <xf numFmtId="165" fontId="6" fillId="7" borderId="0" xfId="2" applyNumberFormat="1" applyFont="1" applyFill="1"/>
    <xf numFmtId="43" fontId="6" fillId="7" borderId="0" xfId="1" applyFont="1" applyFill="1" applyBorder="1"/>
    <xf numFmtId="43" fontId="2" fillId="7" borderId="0" xfId="1" applyFont="1" applyFill="1" applyBorder="1"/>
    <xf numFmtId="0" fontId="2" fillId="7" borderId="0" xfId="0" applyFont="1" applyFill="1"/>
    <xf numFmtId="43" fontId="2" fillId="5" borderId="1" xfId="1" applyFont="1" applyFill="1" applyBorder="1"/>
    <xf numFmtId="165" fontId="0" fillId="7" borderId="0" xfId="2" applyNumberFormat="1" applyFont="1" applyFill="1"/>
    <xf numFmtId="10" fontId="0" fillId="7" borderId="0" xfId="2" applyNumberFormat="1" applyFont="1" applyFill="1"/>
    <xf numFmtId="0" fontId="2" fillId="5" borderId="0" xfId="0" applyFont="1" applyFill="1" applyAlignment="1">
      <alignment horizontal="left"/>
    </xf>
    <xf numFmtId="10" fontId="6" fillId="7" borderId="0" xfId="2" applyNumberFormat="1" applyFont="1" applyFill="1"/>
    <xf numFmtId="0" fontId="10" fillId="0" borderId="0" xfId="0" applyFont="1"/>
    <xf numFmtId="43" fontId="0" fillId="0" borderId="0" xfId="1" applyFont="1" applyAlignment="1">
      <alignment horizontal="right"/>
    </xf>
    <xf numFmtId="43" fontId="0" fillId="7" borderId="0" xfId="1" applyFont="1" applyFill="1" applyAlignment="1">
      <alignment horizontal="right"/>
    </xf>
    <xf numFmtId="0" fontId="0" fillId="9" borderId="0" xfId="0" applyFill="1" applyAlignment="1">
      <alignment vertical="top"/>
    </xf>
    <xf numFmtId="0" fontId="5" fillId="9" borderId="0" xfId="0" applyFont="1" applyFill="1" applyAlignment="1">
      <alignment vertical="top"/>
    </xf>
    <xf numFmtId="165" fontId="0" fillId="9" borderId="3" xfId="2" applyNumberFormat="1" applyFont="1" applyFill="1" applyBorder="1" applyAlignment="1">
      <alignment vertical="top"/>
    </xf>
    <xf numFmtId="0" fontId="0" fillId="9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8" borderId="3" xfId="0" applyNumberFormat="1" applyFill="1" applyBorder="1" applyAlignment="1">
      <alignment vertical="top"/>
    </xf>
    <xf numFmtId="0" fontId="2" fillId="9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9" borderId="3" xfId="0" applyFont="1" applyFill="1" applyBorder="1" applyAlignment="1">
      <alignment vertical="top"/>
    </xf>
    <xf numFmtId="165" fontId="0" fillId="9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9" borderId="0" xfId="0" applyFont="1" applyFill="1" applyAlignment="1">
      <alignment vertical="top"/>
    </xf>
    <xf numFmtId="43" fontId="2" fillId="9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9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9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9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9" borderId="3" xfId="0" applyNumberFormat="1" applyFont="1" applyFill="1" applyBorder="1" applyAlignment="1">
      <alignment vertical="top"/>
    </xf>
    <xf numFmtId="164" fontId="2" fillId="9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9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1" fillId="9" borderId="3" xfId="0" applyFont="1" applyFill="1" applyBorder="1" applyAlignment="1">
      <alignment horizontal="center" vertical="top"/>
    </xf>
    <xf numFmtId="0" fontId="12" fillId="9" borderId="3" xfId="0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2" fillId="10" borderId="3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top"/>
    </xf>
    <xf numFmtId="0" fontId="2" fillId="11" borderId="3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2" fillId="7" borderId="0" xfId="1" applyFont="1" applyFill="1" applyBorder="1" applyAlignment="1">
      <alignment horizontal="center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43" fontId="0" fillId="0" borderId="0" xfId="1" applyFont="1" applyFill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" fillId="4" borderId="7" xfId="6" applyFont="1" applyFill="1" applyBorder="1"/>
    <xf numFmtId="0" fontId="13" fillId="0" borderId="0" xfId="7"/>
    <xf numFmtId="0" fontId="2" fillId="13" borderId="10" xfId="6" applyFont="1" applyFill="1" applyBorder="1"/>
    <xf numFmtId="0" fontId="2" fillId="13" borderId="10" xfId="6" applyFont="1" applyFill="1" applyBorder="1" applyAlignment="1">
      <alignment horizontal="center"/>
    </xf>
    <xf numFmtId="0" fontId="2" fillId="0" borderId="11" xfId="6" applyFont="1" applyBorder="1"/>
    <xf numFmtId="0" fontId="1" fillId="0" borderId="11" xfId="6" applyBorder="1"/>
    <xf numFmtId="10" fontId="13" fillId="0" borderId="3" xfId="7" applyNumberFormat="1" applyBorder="1"/>
    <xf numFmtId="2" fontId="13" fillId="0" borderId="3" xfId="7" applyNumberFormat="1" applyBorder="1"/>
    <xf numFmtId="169" fontId="13" fillId="0" borderId="3" xfId="7" applyNumberFormat="1" applyBorder="1"/>
    <xf numFmtId="10" fontId="0" fillId="0" borderId="3" xfId="9" applyNumberFormat="1" applyFont="1" applyBorder="1"/>
    <xf numFmtId="0" fontId="13" fillId="0" borderId="3" xfId="7" applyBorder="1"/>
    <xf numFmtId="0" fontId="1" fillId="0" borderId="13" xfId="6" applyBorder="1"/>
    <xf numFmtId="0" fontId="13" fillId="0" borderId="14" xfId="7" applyBorder="1"/>
    <xf numFmtId="0" fontId="2" fillId="13" borderId="8" xfId="6" applyFont="1" applyFill="1" applyBorder="1"/>
    <xf numFmtId="0" fontId="13" fillId="13" borderId="5" xfId="7" applyFill="1" applyBorder="1"/>
    <xf numFmtId="0" fontId="2" fillId="0" borderId="15" xfId="6" applyFont="1" applyBorder="1"/>
    <xf numFmtId="2" fontId="13" fillId="0" borderId="12" xfId="7" applyNumberFormat="1" applyBorder="1"/>
    <xf numFmtId="43" fontId="0" fillId="0" borderId="3" xfId="8" applyFont="1" applyBorder="1"/>
    <xf numFmtId="0" fontId="1" fillId="0" borderId="11" xfId="6" applyBorder="1" applyAlignment="1">
      <alignment horizontal="left"/>
    </xf>
    <xf numFmtId="2" fontId="14" fillId="0" borderId="3" xfId="7" applyNumberFormat="1" applyFont="1" applyBorder="1" applyAlignment="1">
      <alignment horizontal="right" vertical="top" shrinkToFit="1"/>
    </xf>
    <xf numFmtId="2" fontId="13" fillId="0" borderId="14" xfId="7" applyNumberFormat="1" applyBorder="1"/>
    <xf numFmtId="0" fontId="1" fillId="0" borderId="15" xfId="6" applyBorder="1"/>
    <xf numFmtId="43" fontId="14" fillId="0" borderId="12" xfId="8" applyFont="1" applyFill="1" applyBorder="1" applyAlignment="1">
      <alignment horizontal="right" vertical="top"/>
    </xf>
    <xf numFmtId="43" fontId="14" fillId="0" borderId="3" xfId="8" applyFont="1" applyFill="1" applyBorder="1" applyAlignment="1">
      <alignment horizontal="right" vertical="top"/>
    </xf>
    <xf numFmtId="166" fontId="15" fillId="0" borderId="3" xfId="8" applyNumberFormat="1" applyFont="1" applyFill="1" applyBorder="1"/>
    <xf numFmtId="3" fontId="16" fillId="14" borderId="3" xfId="7" applyNumberFormat="1" applyFont="1" applyFill="1" applyBorder="1" applyAlignment="1">
      <alignment horizontal="right" vertical="center" wrapText="1"/>
    </xf>
    <xf numFmtId="0" fontId="13" fillId="0" borderId="12" xfId="7" applyBorder="1"/>
    <xf numFmtId="43" fontId="13" fillId="0" borderId="3" xfId="7" applyNumberFormat="1" applyBorder="1"/>
    <xf numFmtId="0" fontId="1" fillId="0" borderId="16" xfId="6" applyBorder="1"/>
    <xf numFmtId="0" fontId="13" fillId="13" borderId="0" xfId="7" applyFill="1"/>
    <xf numFmtId="0" fontId="13" fillId="13" borderId="17" xfId="7" applyFill="1" applyBorder="1"/>
    <xf numFmtId="43" fontId="14" fillId="0" borderId="3" xfId="8" applyFont="1" applyBorder="1" applyAlignment="1">
      <alignment horizontal="left" vertical="top"/>
    </xf>
    <xf numFmtId="0" fontId="2" fillId="13" borderId="18" xfId="6" applyFont="1" applyFill="1" applyBorder="1"/>
    <xf numFmtId="0" fontId="13" fillId="13" borderId="1" xfId="7" applyFill="1" applyBorder="1"/>
    <xf numFmtId="0" fontId="13" fillId="13" borderId="19" xfId="7" applyFill="1" applyBorder="1"/>
    <xf numFmtId="0" fontId="13" fillId="4" borderId="3" xfId="7" applyFill="1" applyBorder="1"/>
    <xf numFmtId="3" fontId="16" fillId="0" borderId="0" xfId="0" applyNumberFormat="1" applyFont="1"/>
    <xf numFmtId="3" fontId="16" fillId="14" borderId="0" xfId="0" applyNumberFormat="1" applyFont="1" applyFill="1" applyAlignment="1">
      <alignment horizontal="right" vertical="center" wrapText="1"/>
    </xf>
    <xf numFmtId="10" fontId="0" fillId="0" borderId="0" xfId="2" applyNumberFormat="1" applyFont="1"/>
    <xf numFmtId="43" fontId="9" fillId="0" borderId="0" xfId="1" applyFont="1" applyFill="1"/>
    <xf numFmtId="0" fontId="8" fillId="12" borderId="4" xfId="0" applyFont="1" applyFill="1" applyBorder="1" applyAlignment="1">
      <alignment horizontal="center" vertical="top"/>
    </xf>
    <xf numFmtId="0" fontId="8" fillId="12" borderId="5" xfId="0" applyFont="1" applyFill="1" applyBorder="1" applyAlignment="1">
      <alignment horizontal="center" vertical="top"/>
    </xf>
    <xf numFmtId="0" fontId="8" fillId="12" borderId="6" xfId="0" applyFont="1" applyFill="1" applyBorder="1" applyAlignment="1">
      <alignment horizontal="center" vertical="top"/>
    </xf>
    <xf numFmtId="0" fontId="12" fillId="10" borderId="3" xfId="0" applyFont="1" applyFill="1" applyBorder="1" applyAlignment="1">
      <alignment horizontal="center" vertical="center" wrapText="1"/>
    </xf>
    <xf numFmtId="0" fontId="2" fillId="4" borderId="8" xfId="6" applyFont="1" applyFill="1" applyBorder="1" applyAlignment="1">
      <alignment horizontal="center"/>
    </xf>
    <xf numFmtId="0" fontId="2" fillId="4" borderId="9" xfId="6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3" fontId="2" fillId="5" borderId="0" xfId="1" applyFont="1" applyFill="1" applyAlignment="1">
      <alignment horizontal="right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4" xfId="8" xr:uid="{00000000-0005-0000-0000-000004000000}"/>
    <cellStyle name="Normal" xfId="0" builtinId="0"/>
    <cellStyle name="Normal 2" xfId="7" xr:uid="{00000000-0005-0000-0000-000006000000}"/>
    <cellStyle name="Normal 5" xfId="6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JIV/Desktop/Valorem%20Advisors/SVPL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zoomScaleNormal="100" zoomScaleSheetLayoutView="100" workbookViewId="0">
      <selection activeCell="B6" sqref="B6"/>
    </sheetView>
  </sheetViews>
  <sheetFormatPr defaultColWidth="9.109375" defaultRowHeight="14.4" x14ac:dyDescent="0.3"/>
  <cols>
    <col min="1" max="1" width="25.44140625" style="41" customWidth="1"/>
    <col min="2" max="3" width="14.6640625" style="41" customWidth="1"/>
    <col min="4" max="5" width="14.6640625" style="42" customWidth="1"/>
    <col min="6" max="7" width="14.6640625" style="41" customWidth="1"/>
    <col min="8" max="16384" width="9.109375" style="41"/>
  </cols>
  <sheetData>
    <row r="1" spans="1:7" s="12" customFormat="1" ht="18" x14ac:dyDescent="0.3">
      <c r="A1" s="137" t="s">
        <v>146</v>
      </c>
      <c r="B1" s="138"/>
      <c r="C1" s="138"/>
      <c r="D1" s="138"/>
      <c r="E1" s="138"/>
      <c r="F1" s="139"/>
      <c r="G1" s="78"/>
    </row>
    <row r="2" spans="1:7" s="76" customFormat="1" x14ac:dyDescent="0.3">
      <c r="A2" s="140" t="s">
        <v>145</v>
      </c>
      <c r="B2" s="79" t="s">
        <v>108</v>
      </c>
      <c r="C2" s="79" t="s">
        <v>109</v>
      </c>
      <c r="D2" s="79" t="s">
        <v>110</v>
      </c>
      <c r="E2" s="79" t="s">
        <v>111</v>
      </c>
      <c r="F2" s="79" t="s">
        <v>112</v>
      </c>
      <c r="G2" s="79" t="s">
        <v>113</v>
      </c>
    </row>
    <row r="3" spans="1:7" s="76" customFormat="1" ht="15.6" x14ac:dyDescent="0.3">
      <c r="A3" s="140"/>
      <c r="B3" s="77" t="s">
        <v>147</v>
      </c>
      <c r="C3" s="77" t="s">
        <v>147</v>
      </c>
      <c r="D3" s="77" t="s">
        <v>147</v>
      </c>
      <c r="E3" s="77" t="s">
        <v>147</v>
      </c>
      <c r="F3" s="77" t="s">
        <v>147</v>
      </c>
      <c r="G3" s="77" t="s">
        <v>147</v>
      </c>
    </row>
    <row r="4" spans="1:7" ht="15.6" x14ac:dyDescent="0.3">
      <c r="A4" s="49" t="s">
        <v>144</v>
      </c>
      <c r="B4" s="75"/>
      <c r="C4" s="74"/>
      <c r="D4" s="73"/>
      <c r="E4" s="73"/>
      <c r="F4" s="73"/>
      <c r="G4" s="73"/>
    </row>
    <row r="5" spans="1:7" x14ac:dyDescent="0.3">
      <c r="A5" s="49" t="s">
        <v>107</v>
      </c>
      <c r="B5" s="13"/>
      <c r="C5" s="44"/>
      <c r="D5" s="51"/>
      <c r="E5" s="51"/>
      <c r="F5" s="51"/>
      <c r="G5" s="51"/>
    </row>
    <row r="6" spans="1:7" x14ac:dyDescent="0.3">
      <c r="A6" s="44" t="s">
        <v>143</v>
      </c>
      <c r="B6" s="72" t="e">
        <f>#REF!*10</f>
        <v>#REF!</v>
      </c>
      <c r="C6" s="71">
        <f>'[1]Peer Analysis working '!C5*10</f>
        <v>49222</v>
      </c>
      <c r="D6" s="71">
        <f>'[1]Peer Analysis working '!D5*10</f>
        <v>67286</v>
      </c>
      <c r="E6" s="71">
        <f>'[1]Peer Analysis working '!E5*10</f>
        <v>56892</v>
      </c>
      <c r="F6" s="71">
        <f>'[1]Peer Analysis working '!F5*10</f>
        <v>442740</v>
      </c>
      <c r="G6" s="71"/>
    </row>
    <row r="7" spans="1:7" x14ac:dyDescent="0.3">
      <c r="A7" s="44" t="s">
        <v>140</v>
      </c>
      <c r="B7" s="67">
        <f>'[1]Peer Analysis working '!B7</f>
        <v>6.6957261377430521E-2</v>
      </c>
      <c r="C7" s="66">
        <f>'[1]Peer Analysis working '!C7</f>
        <v>1.7483450932637146E-2</v>
      </c>
      <c r="D7" s="66">
        <f>'[1]Peer Analysis working '!D7</f>
        <v>0.11395326030791875</v>
      </c>
      <c r="E7" s="66">
        <f>'[1]Peer Analysis working '!E7</f>
        <v>8.1957653928725893E-2</v>
      </c>
      <c r="F7" s="66">
        <f>'[1]Peer Analysis working '!F7</f>
        <v>7.2805272529955722E-2</v>
      </c>
      <c r="G7" s="66"/>
    </row>
    <row r="8" spans="1:7" s="54" customFormat="1" x14ac:dyDescent="0.3">
      <c r="A8" s="49" t="s">
        <v>47</v>
      </c>
      <c r="B8" s="70">
        <f>'[1]Peer Analysis working '!B12*10</f>
        <v>2337.6000000000022</v>
      </c>
      <c r="C8" s="69">
        <f>'[1]Peer Analysis working '!C12*10</f>
        <v>8747</v>
      </c>
      <c r="D8" s="69">
        <f>'[1]Peer Analysis working '!D12*10</f>
        <v>9330</v>
      </c>
      <c r="E8" s="69">
        <f>'[1]Peer Analysis working '!E12*10</f>
        <v>9779</v>
      </c>
      <c r="F8" s="69">
        <f>'[1]Peer Analysis working '!F12*10</f>
        <v>54890</v>
      </c>
      <c r="G8" s="69"/>
    </row>
    <row r="9" spans="1:7" x14ac:dyDescent="0.3">
      <c r="A9" s="44" t="s">
        <v>140</v>
      </c>
      <c r="B9" s="67">
        <f>'[1]Peer Analysis working '!B14</f>
        <v>0.27796799337795663</v>
      </c>
      <c r="C9" s="66">
        <f>'[1]Peer Analysis working '!C14</f>
        <v>0.20517447704828018</v>
      </c>
      <c r="D9" s="66">
        <f>'[1]Peer Analysis working '!D14</f>
        <v>0.33549630488669613</v>
      </c>
      <c r="E9" s="66">
        <f>'[1]Peer Analysis working '!E14</f>
        <v>-2.4487478418460316</v>
      </c>
      <c r="F9" s="66">
        <f>'[1]Peer Analysis working '!F14</f>
        <v>5.7989028682093879E-2</v>
      </c>
      <c r="G9" s="66"/>
    </row>
    <row r="10" spans="1:7" s="54" customFormat="1" x14ac:dyDescent="0.3">
      <c r="A10" s="49" t="s">
        <v>142</v>
      </c>
      <c r="B10" s="65" t="e">
        <f>+B8/B$6</f>
        <v>#REF!</v>
      </c>
      <c r="C10" s="65">
        <f>+C8/C$6</f>
        <v>0.17770509121937345</v>
      </c>
      <c r="D10" s="65">
        <f>+D8/D$6</f>
        <v>0.13866183158457926</v>
      </c>
      <c r="E10" s="65">
        <f>+E8/E$6</f>
        <v>0.17188708430007735</v>
      </c>
      <c r="F10" s="65">
        <f>+F8/F$6</f>
        <v>0.12397795545918598</v>
      </c>
      <c r="G10" s="65"/>
    </row>
    <row r="11" spans="1:7" s="54" customFormat="1" x14ac:dyDescent="0.3">
      <c r="A11" s="49" t="s">
        <v>141</v>
      </c>
      <c r="B11" s="63">
        <f>'[1]Peer Analysis working '!B25*10</f>
        <v>623.77000000000226</v>
      </c>
      <c r="C11" s="68">
        <f>'[1]Peer Analysis working '!C25*10</f>
        <v>7883</v>
      </c>
      <c r="D11" s="68">
        <f>'[1]Peer Analysis working '!D25*10</f>
        <v>2960</v>
      </c>
      <c r="E11" s="68">
        <f>'[1]Peer Analysis working '!E25*10</f>
        <v>997</v>
      </c>
      <c r="F11" s="68">
        <f>'[1]Peer Analysis working '!F25*10</f>
        <v>34510</v>
      </c>
      <c r="G11" s="68"/>
    </row>
    <row r="12" spans="1:7" x14ac:dyDescent="0.3">
      <c r="A12" s="44" t="s">
        <v>140</v>
      </c>
      <c r="B12" s="67">
        <f>'[1]Peer Analysis working '!B27</f>
        <v>0.15020466640116381</v>
      </c>
      <c r="C12" s="66">
        <f>'[1]Peer Analysis working '!C27</f>
        <v>-2.3617924740187757E-2</v>
      </c>
      <c r="D12" s="66">
        <f>'[1]Peer Analysis working '!D27</f>
        <v>0.2798301533370493</v>
      </c>
      <c r="E12" s="66">
        <f>'[1]Peer Analysis working '!E27</f>
        <v>-1.7739968460390942E-2</v>
      </c>
      <c r="F12" s="66">
        <f>'[1]Peer Analysis working '!F27</f>
        <v>1.3492351397157654E-2</v>
      </c>
      <c r="G12" s="66"/>
    </row>
    <row r="13" spans="1:7" x14ac:dyDescent="0.3">
      <c r="A13" s="49" t="s">
        <v>139</v>
      </c>
      <c r="B13" s="65" t="e">
        <f>+B11/B$6</f>
        <v>#REF!</v>
      </c>
      <c r="C13" s="64">
        <f>+C11/C$6</f>
        <v>0.1601519645686888</v>
      </c>
      <c r="D13" s="64">
        <f>+D11/D$6</f>
        <v>4.3991320631334901E-2</v>
      </c>
      <c r="E13" s="64">
        <f>+E11/E$6</f>
        <v>1.7524432257610911E-2</v>
      </c>
      <c r="F13" s="64">
        <f>+F11/F$6</f>
        <v>7.7946424538103631E-2</v>
      </c>
      <c r="G13" s="64"/>
    </row>
    <row r="14" spans="1:7" x14ac:dyDescent="0.3">
      <c r="A14" s="44" t="s">
        <v>55</v>
      </c>
      <c r="B14" s="45">
        <f>'[1]Peer Analysis working '!B29</f>
        <v>3.76</v>
      </c>
      <c r="C14" s="45">
        <f>'[1]Peer Analysis working '!C29</f>
        <v>52.21</v>
      </c>
      <c r="D14" s="45">
        <f>'[1]Peer Analysis working '!D29</f>
        <v>7.83</v>
      </c>
      <c r="E14" s="45">
        <f>'[1]Peer Analysis working '!E29</f>
        <v>3.26</v>
      </c>
      <c r="F14" s="45">
        <f>'[1]Peer Analysis working '!F29</f>
        <v>31.37</v>
      </c>
      <c r="G14" s="45"/>
    </row>
    <row r="15" spans="1:7" x14ac:dyDescent="0.3">
      <c r="A15" s="44"/>
      <c r="B15" s="13"/>
      <c r="C15" s="44"/>
      <c r="D15" s="51"/>
      <c r="E15" s="51"/>
      <c r="F15" s="44"/>
      <c r="G15" s="44"/>
    </row>
    <row r="16" spans="1:7" x14ac:dyDescent="0.3">
      <c r="A16" s="44"/>
      <c r="B16" s="13"/>
      <c r="C16" s="44"/>
      <c r="D16" s="51"/>
      <c r="E16" s="51"/>
      <c r="F16" s="44"/>
      <c r="G16" s="44"/>
    </row>
    <row r="17" spans="1:7" x14ac:dyDescent="0.3">
      <c r="A17" s="49" t="s">
        <v>138</v>
      </c>
      <c r="B17" s="50"/>
      <c r="C17" s="49"/>
      <c r="D17" s="49"/>
      <c r="E17" s="49"/>
      <c r="F17" s="49"/>
      <c r="G17" s="49"/>
    </row>
    <row r="18" spans="1:7" s="54" customFormat="1" x14ac:dyDescent="0.3">
      <c r="A18" s="49" t="s">
        <v>137</v>
      </c>
      <c r="B18" s="63">
        <f>'[1]Peer Analysis working '!I5*10</f>
        <v>6806.94</v>
      </c>
      <c r="C18" s="63">
        <f>'[1]Peer Analysis working '!J5*10</f>
        <v>47546</v>
      </c>
      <c r="D18" s="63">
        <f>'[1]Peer Analysis working '!K5*10</f>
        <v>31513</v>
      </c>
      <c r="E18" s="63">
        <f>'[1]Peer Analysis working '!L5*10</f>
        <v>60583</v>
      </c>
      <c r="F18" s="63">
        <f>'[1]Peer Analysis working '!M5*10</f>
        <v>256090</v>
      </c>
      <c r="G18" s="63"/>
    </row>
    <row r="19" spans="1:7" s="54" customFormat="1" x14ac:dyDescent="0.3">
      <c r="A19" s="49" t="s">
        <v>76</v>
      </c>
      <c r="B19" s="63">
        <f>SUM(B20:B21)</f>
        <v>1806.12</v>
      </c>
      <c r="C19" s="63">
        <f>SUM(C20:C21)</f>
        <v>0</v>
      </c>
      <c r="D19" s="63">
        <f>SUM(D20:D21)</f>
        <v>12219</v>
      </c>
      <c r="E19" s="63">
        <f>SUM(E20:E21)</f>
        <v>9292</v>
      </c>
      <c r="F19" s="63">
        <f>SUM(F20:F21)</f>
        <v>37380</v>
      </c>
      <c r="G19" s="63"/>
    </row>
    <row r="20" spans="1:7" x14ac:dyDescent="0.3">
      <c r="A20" s="62" t="s">
        <v>136</v>
      </c>
      <c r="B20" s="45">
        <f>'[1]Peer Analysis working '!I6*10</f>
        <v>0</v>
      </c>
      <c r="C20" s="45">
        <f>'[1]Peer Analysis working '!J6*10</f>
        <v>0</v>
      </c>
      <c r="D20" s="45">
        <f>'[1]Peer Analysis working '!K6*10</f>
        <v>3893</v>
      </c>
      <c r="E20" s="45">
        <f>'[1]Peer Analysis working '!L6*10</f>
        <v>667</v>
      </c>
      <c r="F20" s="45">
        <f>'[1]Peer Analysis working '!M6*10</f>
        <v>8590</v>
      </c>
      <c r="G20" s="45"/>
    </row>
    <row r="21" spans="1:7" x14ac:dyDescent="0.3">
      <c r="A21" s="62" t="s">
        <v>135</v>
      </c>
      <c r="B21" s="45">
        <f>'[1]Peer Analysis working '!I7*10</f>
        <v>1806.12</v>
      </c>
      <c r="C21" s="45">
        <f>'[1]Peer Analysis working '!J7*10</f>
        <v>0</v>
      </c>
      <c r="D21" s="45">
        <f>'[1]Peer Analysis working '!K7*10</f>
        <v>8326</v>
      </c>
      <c r="E21" s="45">
        <f>'[1]Peer Analysis working '!L7*10</f>
        <v>8625</v>
      </c>
      <c r="F21" s="45">
        <f>'[1]Peer Analysis working '!M7*10</f>
        <v>28790</v>
      </c>
      <c r="G21" s="45"/>
    </row>
    <row r="22" spans="1:7" x14ac:dyDescent="0.3">
      <c r="A22" s="44"/>
      <c r="B22" s="13"/>
      <c r="C22" s="44"/>
      <c r="D22" s="51"/>
      <c r="E22" s="51"/>
      <c r="F22" s="44"/>
      <c r="G22" s="44"/>
    </row>
    <row r="23" spans="1:7" x14ac:dyDescent="0.3">
      <c r="A23" s="49" t="s">
        <v>134</v>
      </c>
      <c r="B23" s="50"/>
      <c r="C23" s="49"/>
      <c r="D23" s="49"/>
      <c r="E23" s="49"/>
      <c r="F23" s="49"/>
      <c r="G23" s="49"/>
    </row>
    <row r="24" spans="1:7" x14ac:dyDescent="0.3">
      <c r="A24" s="60" t="s">
        <v>133</v>
      </c>
      <c r="B24" s="61"/>
      <c r="C24" s="44"/>
      <c r="D24" s="44"/>
      <c r="E24" s="44"/>
      <c r="F24" s="44"/>
      <c r="G24" s="44"/>
    </row>
    <row r="25" spans="1:7" x14ac:dyDescent="0.3">
      <c r="A25" s="60" t="s">
        <v>74</v>
      </c>
      <c r="B25" s="59"/>
      <c r="C25" s="44"/>
      <c r="D25" s="44"/>
      <c r="E25" s="44"/>
      <c r="F25" s="44"/>
      <c r="G25" s="44"/>
    </row>
    <row r="26" spans="1:7" s="12" customFormat="1" x14ac:dyDescent="0.3">
      <c r="A26" s="13"/>
      <c r="B26" s="13"/>
      <c r="C26" s="13"/>
      <c r="D26" s="58"/>
      <c r="E26" s="58"/>
      <c r="F26" s="58"/>
      <c r="G26" s="58"/>
    </row>
    <row r="27" spans="1:7" s="12" customFormat="1" x14ac:dyDescent="0.3">
      <c r="A27" s="13" t="s">
        <v>75</v>
      </c>
      <c r="B27" s="57">
        <f>'[1]Peer Analysis working '!I27</f>
        <v>16042570</v>
      </c>
      <c r="C27" s="57">
        <f>'[1]Peer Analysis working '!J27</f>
        <v>15050871</v>
      </c>
      <c r="D27" s="57">
        <f>'[1]Peer Analysis working '!K27</f>
        <v>37759530</v>
      </c>
      <c r="E27" s="57">
        <f>'[1]Peer Analysis working '!L27</f>
        <v>30603181</v>
      </c>
      <c r="F27" s="57">
        <f>'[1]Peer Analysis working '!M27</f>
        <v>109971221</v>
      </c>
      <c r="G27" s="57"/>
    </row>
    <row r="28" spans="1:7" s="54" customFormat="1" x14ac:dyDescent="0.3">
      <c r="A28" s="49" t="s">
        <v>114</v>
      </c>
      <c r="B28" s="56">
        <f>'[1]Peer Analysis working '!I28*10</f>
        <v>705.87307999999996</v>
      </c>
      <c r="C28" s="55">
        <f>'[1]Peer Analysis working '!J28*10</f>
        <v>5698.2597605999999</v>
      </c>
      <c r="D28" s="55">
        <f>'[1]Peer Analysis working '!K28*10</f>
        <v>1049.7149340000001</v>
      </c>
      <c r="E28" s="55">
        <f>'[1]Peer Analysis working '!L28*10</f>
        <v>2209.5496682000003</v>
      </c>
      <c r="F28" s="55">
        <f>'[1]Peer Analysis working '!M28*10</f>
        <v>25254.89090265</v>
      </c>
      <c r="G28" s="55"/>
    </row>
    <row r="29" spans="1:7" s="54" customFormat="1" x14ac:dyDescent="0.3">
      <c r="A29" s="49" t="s">
        <v>79</v>
      </c>
      <c r="B29" s="56">
        <f>'[1]Peer Analysis working '!I31*10</f>
        <v>297.57307999999966</v>
      </c>
      <c r="C29" s="55">
        <f>'[1]Peer Analysis working '!J31*10</f>
        <v>3873.2597605999999</v>
      </c>
      <c r="D29" s="55">
        <f>'[1]Peer Analysis working '!K31*10</f>
        <v>6252.7149340000014</v>
      </c>
      <c r="E29" s="55">
        <f>'[1]Peer Analysis working '!L31*10</f>
        <v>9985.5496681999994</v>
      </c>
      <c r="F29" s="55">
        <f>'[1]Peer Analysis working '!M31*10</f>
        <v>-32545.109097349996</v>
      </c>
      <c r="G29" s="55"/>
    </row>
    <row r="30" spans="1:7" x14ac:dyDescent="0.3">
      <c r="A30" s="44"/>
      <c r="B30" s="13"/>
      <c r="C30" s="44"/>
      <c r="D30" s="51"/>
      <c r="E30" s="44"/>
      <c r="F30" s="44"/>
      <c r="G30" s="44"/>
    </row>
    <row r="31" spans="1:7" x14ac:dyDescent="0.3">
      <c r="A31" s="44" t="s">
        <v>132</v>
      </c>
      <c r="B31" s="46">
        <f>'[1]Peer Analysis working '!I35</f>
        <v>11.702127659574469</v>
      </c>
      <c r="C31" s="46">
        <f>'[1]Peer Analysis working '!J35</f>
        <v>7.2514843899636086</v>
      </c>
      <c r="D31" s="46">
        <f>'[1]Peer Analysis working '!K35</f>
        <v>3.5504469987228608</v>
      </c>
      <c r="E31" s="46">
        <f>'[1]Peer Analysis working '!L35</f>
        <v>22.147239263803684</v>
      </c>
      <c r="F31" s="46">
        <f>'[1]Peer Analysis working '!M35</f>
        <v>7.3206885559451704</v>
      </c>
      <c r="G31" s="46"/>
    </row>
    <row r="32" spans="1:7" x14ac:dyDescent="0.3">
      <c r="A32" s="44" t="s">
        <v>91</v>
      </c>
      <c r="B32" s="53">
        <f>'[1]Peer Analysis working '!I44</f>
        <v>3.4090909090909088E-2</v>
      </c>
      <c r="C32" s="52">
        <f>'[1]Peer Analysis working '!J44</f>
        <v>0.10565240359218171</v>
      </c>
      <c r="D32" s="52">
        <f>'[1]Peer Analysis working '!K44</f>
        <v>0</v>
      </c>
      <c r="E32" s="52">
        <f>'[1]Peer Analysis working '!L44</f>
        <v>0</v>
      </c>
      <c r="F32" s="52">
        <f>'[1]Peer Analysis working '!M44</f>
        <v>6.531678641410843E-2</v>
      </c>
      <c r="G32" s="52"/>
    </row>
    <row r="33" spans="1:7" x14ac:dyDescent="0.3">
      <c r="A33" s="44" t="s">
        <v>131</v>
      </c>
      <c r="B33" s="46">
        <f>'[1]Peer Analysis working '!I36</f>
        <v>0.10369903069514348</v>
      </c>
      <c r="C33" s="46">
        <f>'[1]Peer Analysis working '!J36</f>
        <v>0.11984730073192279</v>
      </c>
      <c r="D33" s="46">
        <f>'[1]Peer Analysis working '!K36</f>
        <v>3.3310536413543618E-2</v>
      </c>
      <c r="E33" s="46">
        <f>'[1]Peer Analysis working '!L36</f>
        <v>3.6471446910849581E-2</v>
      </c>
      <c r="F33" s="46">
        <f>'[1]Peer Analysis working '!M36</f>
        <v>9.8617247462415569E-2</v>
      </c>
      <c r="G33" s="46"/>
    </row>
    <row r="34" spans="1:7" x14ac:dyDescent="0.3">
      <c r="A34" s="44" t="s">
        <v>130</v>
      </c>
      <c r="B34" s="46">
        <f>'[1]Peer Analysis working '!I37</f>
        <v>0.12729854551676908</v>
      </c>
      <c r="C34" s="46">
        <f>'[1]Peer Analysis working '!J37</f>
        <v>0.44281007895278379</v>
      </c>
      <c r="D34" s="46">
        <f>'[1]Peer Analysis working '!K37</f>
        <v>0.67017309046087903</v>
      </c>
      <c r="E34" s="46">
        <f>'[1]Peer Analysis working '!L37</f>
        <v>1.021121757664383</v>
      </c>
      <c r="F34" s="46">
        <f>'[1]Peer Analysis working '!M37</f>
        <v>-0.59291508648843139</v>
      </c>
      <c r="G34" s="46"/>
    </row>
    <row r="35" spans="1:7" x14ac:dyDescent="0.3">
      <c r="A35" s="44"/>
      <c r="B35" s="13"/>
      <c r="C35" s="44"/>
      <c r="D35" s="51"/>
      <c r="E35" s="51"/>
      <c r="F35" s="44"/>
      <c r="G35" s="44"/>
    </row>
    <row r="36" spans="1:7" x14ac:dyDescent="0.3">
      <c r="A36" s="49" t="s">
        <v>129</v>
      </c>
      <c r="B36" s="50"/>
      <c r="C36" s="49"/>
      <c r="D36" s="49"/>
      <c r="E36" s="49"/>
      <c r="F36" s="49"/>
      <c r="G36" s="49"/>
    </row>
    <row r="37" spans="1:7" x14ac:dyDescent="0.3">
      <c r="A37" s="49" t="s">
        <v>148</v>
      </c>
      <c r="B37" s="45" t="e">
        <f>#REF!</f>
        <v>#REF!</v>
      </c>
      <c r="C37" s="45">
        <f>'[1]Peer Analysis working '!J32</f>
        <v>378.6</v>
      </c>
      <c r="D37" s="45">
        <f>'[1]Peer Analysis working '!K32</f>
        <v>27.8</v>
      </c>
      <c r="E37" s="45">
        <f>'[1]Peer Analysis working '!L32</f>
        <v>72.2</v>
      </c>
      <c r="F37" s="45">
        <f>'[1]Peer Analysis working '!M32</f>
        <v>229.65</v>
      </c>
      <c r="G37" s="45"/>
    </row>
    <row r="38" spans="1:7" x14ac:dyDescent="0.3">
      <c r="A38" s="44" t="s">
        <v>128</v>
      </c>
      <c r="B38" s="45">
        <f>B18</f>
        <v>6806.94</v>
      </c>
      <c r="C38" s="45">
        <f>C18</f>
        <v>47546</v>
      </c>
      <c r="D38" s="45">
        <f>D18</f>
        <v>31513</v>
      </c>
      <c r="E38" s="45">
        <f>E18</f>
        <v>60583</v>
      </c>
      <c r="F38" s="45">
        <f>F18</f>
        <v>256090</v>
      </c>
      <c r="G38" s="45"/>
    </row>
    <row r="39" spans="1:7" x14ac:dyDescent="0.3">
      <c r="A39" s="44" t="s">
        <v>127</v>
      </c>
      <c r="B39" s="45">
        <f>'[1]Peer Analysis working '!I34</f>
        <v>424.30483395116869</v>
      </c>
      <c r="C39" s="45">
        <f>'[1]Peer Analysis working '!J34</f>
        <v>3159.0198334701026</v>
      </c>
      <c r="D39" s="45">
        <f>'[1]Peer Analysis working '!K34</f>
        <v>834.57076928658807</v>
      </c>
      <c r="E39" s="45">
        <f>'[1]Peer Analysis working '!L34</f>
        <v>1979.6308102742653</v>
      </c>
      <c r="F39" s="45">
        <f>'[1]Peer Analysis working '!M34</f>
        <v>2328.7001605629166</v>
      </c>
      <c r="G39" s="45"/>
    </row>
    <row r="40" spans="1:7" x14ac:dyDescent="0.3">
      <c r="A40" s="44" t="s">
        <v>126</v>
      </c>
      <c r="B40" s="43">
        <f>'[1]Peer Analysis working '!I38</f>
        <v>9.1637358343103104E-2</v>
      </c>
      <c r="C40" s="43">
        <f>'[1]Peer Analysis working '!J38</f>
        <v>0.16579733310898917</v>
      </c>
      <c r="D40" s="43">
        <f>'[1]Peer Analysis working '!K38</f>
        <v>9.392948941706597E-2</v>
      </c>
      <c r="E40" s="43">
        <f>'[1]Peer Analysis working '!L38</f>
        <v>1.6456761797864088E-2</v>
      </c>
      <c r="F40" s="43">
        <f>'[1]Peer Analysis working '!M38</f>
        <v>0.13475731188254128</v>
      </c>
      <c r="G40" s="43"/>
    </row>
    <row r="41" spans="1:7" x14ac:dyDescent="0.3">
      <c r="A41" s="44" t="s">
        <v>125</v>
      </c>
      <c r="B41" s="43">
        <f>'[1]Peer Analysis working '!I39</f>
        <v>0.15966919879744115</v>
      </c>
      <c r="C41" s="43">
        <f>'[1]Peer Analysis working '!J39</f>
        <v>0.23463756949794889</v>
      </c>
      <c r="D41" s="43">
        <f>'[1]Peer Analysis working '!K39</f>
        <v>0.16266310441067727</v>
      </c>
      <c r="E41" s="43">
        <f>'[1]Peer Analysis working '!L39</f>
        <v>7.0130917016226549E-2</v>
      </c>
      <c r="F41" s="43">
        <f>'[1]Peer Analysis working '!M39</f>
        <v>0.12677259525029899</v>
      </c>
      <c r="G41" s="43"/>
    </row>
    <row r="42" spans="1:7" x14ac:dyDescent="0.3">
      <c r="A42" s="44" t="s">
        <v>124</v>
      </c>
      <c r="B42" s="46">
        <f>'[1]Peer Analysis working '!I40</f>
        <v>0.19664505085895492</v>
      </c>
      <c r="C42" s="46">
        <f>'[1]Peer Analysis working '!J40</f>
        <v>0.68930559505911992</v>
      </c>
      <c r="D42" s="46">
        <f>'[1]Peer Analysis working '!K40</f>
        <v>0.63170644710638169</v>
      </c>
      <c r="E42" s="46">
        <f>'[1]Peer Analysis working '!L40</f>
        <v>0.8970505519229417</v>
      </c>
      <c r="F42" s="46">
        <f>'[1]Peer Analysis working '!M40</f>
        <v>0.46451642047251207</v>
      </c>
      <c r="G42" s="46"/>
    </row>
    <row r="43" spans="1:7" x14ac:dyDescent="0.3">
      <c r="A43" s="44" t="s">
        <v>123</v>
      </c>
      <c r="B43" s="47">
        <f>'[1]Peer Analysis working '!I45</f>
        <v>66.342013720741051</v>
      </c>
      <c r="C43" s="47">
        <f>'[1]Peer Analysis working '!J45</f>
        <v>65.062573645930684</v>
      </c>
      <c r="D43" s="47">
        <f>'[1]Peer Analysis working '!K45</f>
        <v>86.592976250631622</v>
      </c>
      <c r="E43" s="47">
        <f>'[1]Peer Analysis working '!L45</f>
        <v>107.90185790620825</v>
      </c>
      <c r="F43" s="47">
        <f>'[1]Peer Analysis working '!M45</f>
        <v>56.711275240547494</v>
      </c>
      <c r="G43" s="47"/>
    </row>
    <row r="44" spans="1:7" x14ac:dyDescent="0.3">
      <c r="A44" s="44" t="s">
        <v>94</v>
      </c>
      <c r="B44" s="47">
        <f>'[1]Peer Analysis working '!I47</f>
        <v>0</v>
      </c>
      <c r="C44" s="47">
        <f>'[1]Peer Analysis working '!J47</f>
        <v>0</v>
      </c>
      <c r="D44" s="47">
        <f>'[1]Peer Analysis working '!K47</f>
        <v>10.79</v>
      </c>
      <c r="E44" s="47">
        <f>'[1]Peer Analysis working '!L47</f>
        <v>0</v>
      </c>
      <c r="F44" s="47">
        <f>'[1]Peer Analysis working '!M47</f>
        <v>16.899999999999999</v>
      </c>
      <c r="G44" s="47"/>
    </row>
    <row r="45" spans="1:7" x14ac:dyDescent="0.3">
      <c r="A45" s="44" t="s">
        <v>122</v>
      </c>
      <c r="B45" s="48">
        <f>'[1]Peer Analysis working '!I46</f>
        <v>6242.8348665021331</v>
      </c>
      <c r="C45" s="47">
        <f>'[1]Peer Analysis working '!J46</f>
        <v>17.260000000000002</v>
      </c>
      <c r="D45" s="47">
        <f>'[1]Peer Analysis working '!K46</f>
        <v>29.69</v>
      </c>
      <c r="E45" s="47">
        <f>'[1]Peer Analysis working '!L46</f>
        <v>50.87</v>
      </c>
      <c r="F45" s="47">
        <f>'[1]Peer Analysis working '!M46</f>
        <v>51.52</v>
      </c>
      <c r="G45" s="47"/>
    </row>
    <row r="46" spans="1:7" x14ac:dyDescent="0.3">
      <c r="A46" s="44" t="s">
        <v>121</v>
      </c>
      <c r="B46" s="48">
        <f>'[1]Peer Analysis working '!I48</f>
        <v>-6176.4928527813918</v>
      </c>
      <c r="C46" s="47">
        <f>'[1]Peer Analysis working '!J48</f>
        <v>47.802573645930678</v>
      </c>
      <c r="D46" s="47">
        <f>'[1]Peer Analysis working '!K48</f>
        <v>67.692976250631631</v>
      </c>
      <c r="E46" s="47">
        <f>'[1]Peer Analysis working '!L48</f>
        <v>57.031857906208252</v>
      </c>
      <c r="F46" s="47">
        <f>'[1]Peer Analysis working '!M48</f>
        <v>22.091275240547482</v>
      </c>
      <c r="G46" s="47"/>
    </row>
    <row r="47" spans="1:7" x14ac:dyDescent="0.3">
      <c r="A47" s="44" t="s">
        <v>96</v>
      </c>
      <c r="B47" s="47">
        <f>'[1]Peer Analysis working '!I49</f>
        <v>38.568782865166789</v>
      </c>
      <c r="C47" s="47">
        <f>'[1]Peer Analysis working '!J49</f>
        <v>104.5124131485921</v>
      </c>
      <c r="D47" s="47">
        <f>'[1]Peer Analysis working '!K49</f>
        <v>-3.1679695627619462</v>
      </c>
      <c r="E47" s="47">
        <f>'[1]Peer Analysis working '!L49</f>
        <v>102.35551571398437</v>
      </c>
      <c r="F47" s="47">
        <f>'[1]Peer Analysis working '!M49</f>
        <v>168.22119076658987</v>
      </c>
      <c r="G47" s="47"/>
    </row>
    <row r="48" spans="1:7" x14ac:dyDescent="0.3">
      <c r="A48" s="44" t="s">
        <v>120</v>
      </c>
      <c r="B48" s="46">
        <f>'[1]Peer Analysis working '!I41</f>
        <v>0.2653350844873027</v>
      </c>
      <c r="C48" s="46">
        <f>'[1]Peer Analysis working '!J41</f>
        <v>0</v>
      </c>
      <c r="D48" s="46">
        <f>'[1]Peer Analysis working '!K41</f>
        <v>0.38774474026592198</v>
      </c>
      <c r="E48" s="46">
        <f>'[1]Peer Analysis working '!L41</f>
        <v>0.15337635970486771</v>
      </c>
      <c r="F48" s="46">
        <f>'[1]Peer Analysis working '!M41</f>
        <v>0.14596430942246866</v>
      </c>
      <c r="G48" s="46"/>
    </row>
    <row r="49" spans="1:7" x14ac:dyDescent="0.3">
      <c r="A49" s="44" t="s">
        <v>119</v>
      </c>
      <c r="B49" s="46">
        <f>'[1]Peer Analysis working '!I42</f>
        <v>-5.998289980519883E-2</v>
      </c>
      <c r="C49" s="46">
        <f>'[1]Peer Analysis working '!J42</f>
        <v>-3.8383880873259578E-2</v>
      </c>
      <c r="D49" s="46">
        <f>'[1]Peer Analysis working '!K42</f>
        <v>0.16510646399898457</v>
      </c>
      <c r="E49" s="46">
        <f>'[1]Peer Analysis working '!L42</f>
        <v>0.128352838254956</v>
      </c>
      <c r="F49" s="46">
        <f>'[1]Peer Analysis working '!M42</f>
        <v>-0.22570190167519233</v>
      </c>
      <c r="G49" s="46"/>
    </row>
    <row r="50" spans="1:7" x14ac:dyDescent="0.3">
      <c r="A50" s="44" t="s">
        <v>115</v>
      </c>
      <c r="B50" s="45">
        <f>'[1]Peer Analysis working '!I51</f>
        <v>3.7837018647884131</v>
      </c>
      <c r="C50" s="45">
        <f>'[1]Peer Analysis working '!J51</f>
        <v>158.70422535211267</v>
      </c>
      <c r="D50" s="45">
        <f>'[1]Peer Analysis working '!K51</f>
        <v>2.2760347129506009</v>
      </c>
      <c r="E50" s="45">
        <f>'[1]Peer Analysis working '!L51</f>
        <v>3.4877505567928733</v>
      </c>
      <c r="F50" s="45">
        <f>'[1]Peer Analysis working '!M51</f>
        <v>10.687242798353909</v>
      </c>
      <c r="G50" s="45"/>
    </row>
    <row r="51" spans="1:7" x14ac:dyDescent="0.3">
      <c r="A51" s="44" t="s">
        <v>118</v>
      </c>
      <c r="B51" s="43">
        <f>'[1]Peer Analysis working '!I50</f>
        <v>0.19180342391424715</v>
      </c>
      <c r="C51" s="43">
        <f>'[1]Peer Analysis working '!J50</f>
        <v>0</v>
      </c>
      <c r="D51" s="43">
        <f>'[1]Peer Analysis working '!K50</f>
        <v>0.24519191423193387</v>
      </c>
      <c r="E51" s="43">
        <f>'[1]Peer Analysis working '!L50</f>
        <v>0.14496340938441668</v>
      </c>
      <c r="F51" s="43">
        <f>'[1]Peer Analysis working '!M50</f>
        <v>0.13001605136436598</v>
      </c>
      <c r="G51" s="43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4"/>
  <sheetViews>
    <sheetView tabSelected="1" zoomScale="85" zoomScaleNormal="85" zoomScaleSheetLayoutView="75" workbookViewId="0">
      <selection activeCell="K64" sqref="K64"/>
    </sheetView>
  </sheetViews>
  <sheetFormatPr defaultColWidth="8.88671875" defaultRowHeight="15" customHeight="1" x14ac:dyDescent="0.3"/>
  <cols>
    <col min="1" max="1" width="46.88671875" customWidth="1"/>
    <col min="2" max="2" width="17.88671875" hidden="1" customWidth="1"/>
    <col min="3" max="5" width="15.6640625" hidden="1" customWidth="1"/>
    <col min="6" max="11" width="15.6640625" customWidth="1"/>
    <col min="12" max="12" width="21.88671875" customWidth="1"/>
    <col min="13" max="13" width="54" customWidth="1"/>
    <col min="14" max="14" width="24.44140625" hidden="1" customWidth="1"/>
    <col min="15" max="15" width="16.109375" hidden="1" customWidth="1"/>
    <col min="16" max="16" width="16" hidden="1" customWidth="1"/>
    <col min="17" max="17" width="16.109375" hidden="1" customWidth="1"/>
    <col min="18" max="19" width="16.109375" bestFit="1" customWidth="1"/>
    <col min="20" max="22" width="16.109375" customWidth="1"/>
    <col min="23" max="23" width="13.88671875" customWidth="1"/>
    <col min="24" max="24" width="9.88671875" bestFit="1" customWidth="1"/>
  </cols>
  <sheetData>
    <row r="1" spans="1:23" ht="15" customHeight="1" x14ac:dyDescent="0.35">
      <c r="A1" s="143" t="s">
        <v>153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15" customHeight="1" x14ac:dyDescent="0.3">
      <c r="A2" s="11" t="s">
        <v>0</v>
      </c>
      <c r="B2" s="20" t="s">
        <v>38</v>
      </c>
      <c r="C2" s="20" t="s">
        <v>39</v>
      </c>
      <c r="D2" s="20" t="s">
        <v>37</v>
      </c>
      <c r="E2" s="20" t="s">
        <v>1</v>
      </c>
      <c r="F2" s="20" t="s">
        <v>2</v>
      </c>
      <c r="G2" s="20" t="s">
        <v>56</v>
      </c>
      <c r="H2" s="20" t="s">
        <v>157</v>
      </c>
      <c r="I2" s="20" t="s">
        <v>175</v>
      </c>
      <c r="J2" s="20" t="s">
        <v>178</v>
      </c>
      <c r="K2" s="20" t="s">
        <v>185</v>
      </c>
      <c r="L2" s="20"/>
      <c r="M2" s="11" t="s">
        <v>0</v>
      </c>
      <c r="N2" s="20" t="s">
        <v>38</v>
      </c>
      <c r="O2" s="20" t="s">
        <v>39</v>
      </c>
      <c r="P2" s="20" t="s">
        <v>37</v>
      </c>
      <c r="Q2" s="20" t="s">
        <v>1</v>
      </c>
      <c r="R2" s="20" t="s">
        <v>2</v>
      </c>
      <c r="S2" s="20" t="s">
        <v>56</v>
      </c>
      <c r="T2" s="20" t="s">
        <v>157</v>
      </c>
      <c r="U2" s="20" t="s">
        <v>175</v>
      </c>
      <c r="V2" s="20" t="s">
        <v>178</v>
      </c>
      <c r="W2" s="20" t="s">
        <v>183</v>
      </c>
    </row>
    <row r="3" spans="1:23" ht="15" customHeight="1" x14ac:dyDescent="0.3">
      <c r="A3" t="s">
        <v>40</v>
      </c>
      <c r="B3" s="93">
        <v>661.98050799999999</v>
      </c>
      <c r="C3" s="94">
        <v>710.73900000000003</v>
      </c>
      <c r="D3" s="94">
        <v>1679.1990000000001</v>
      </c>
      <c r="E3" s="94">
        <v>2406.3879999999999</v>
      </c>
      <c r="F3" s="94">
        <v>2577.1469999999999</v>
      </c>
      <c r="G3" s="94">
        <v>2501.7470000000003</v>
      </c>
      <c r="H3" s="94">
        <v>4106.79</v>
      </c>
      <c r="I3" s="94">
        <v>5890.6450000000004</v>
      </c>
      <c r="J3" s="94">
        <v>6218.3530000000001</v>
      </c>
      <c r="K3" s="94">
        <v>4474.8149999999996</v>
      </c>
      <c r="L3" s="94"/>
      <c r="M3" t="s">
        <v>3</v>
      </c>
      <c r="N3" s="94">
        <v>449.52200000000005</v>
      </c>
      <c r="O3" s="94">
        <v>449.52200000000005</v>
      </c>
      <c r="P3" s="94">
        <v>449.52200000000005</v>
      </c>
      <c r="Q3" s="94">
        <v>449.52200000000005</v>
      </c>
      <c r="R3" s="94">
        <v>449.52200000000005</v>
      </c>
      <c r="S3" s="94">
        <v>625.73199999999997</v>
      </c>
      <c r="T3" s="94">
        <v>638.29999999999995</v>
      </c>
      <c r="U3" s="94">
        <v>678.97500000000002</v>
      </c>
      <c r="V3" s="94">
        <v>680.42</v>
      </c>
      <c r="W3" s="94">
        <v>684.48900000000003</v>
      </c>
    </row>
    <row r="4" spans="1:23" ht="15" customHeight="1" x14ac:dyDescent="0.3">
      <c r="A4" s="23" t="s">
        <v>41</v>
      </c>
      <c r="B4" s="24"/>
      <c r="C4" s="24">
        <f t="shared" ref="C4:E4" si="0">C3/B3-1</f>
        <v>7.3655479898208753E-2</v>
      </c>
      <c r="D4" s="24">
        <f t="shared" si="0"/>
        <v>1.362609903213416</v>
      </c>
      <c r="E4" s="24">
        <f t="shared" si="0"/>
        <v>0.43305707066285759</v>
      </c>
      <c r="F4" s="24">
        <f t="shared" ref="F4:J4" si="1">F3/E3-1</f>
        <v>7.0960709578006487E-2</v>
      </c>
      <c r="G4" s="24">
        <f t="shared" si="1"/>
        <v>-2.9257159176406922E-2</v>
      </c>
      <c r="H4" s="24">
        <f t="shared" si="1"/>
        <v>0.64156887167247501</v>
      </c>
      <c r="I4" s="24">
        <f t="shared" si="1"/>
        <v>0.43436723085426832</v>
      </c>
      <c r="J4" s="24">
        <f t="shared" si="1"/>
        <v>5.5631938437980866E-2</v>
      </c>
      <c r="K4" s="30">
        <v>0</v>
      </c>
      <c r="L4" s="92"/>
      <c r="M4" t="s">
        <v>151</v>
      </c>
      <c r="N4" s="94">
        <v>933.43399999999997</v>
      </c>
      <c r="O4" s="94">
        <v>957.75400000000013</v>
      </c>
      <c r="P4" s="94">
        <v>983.33600000000001</v>
      </c>
      <c r="Q4" s="94">
        <v>547.55799999999999</v>
      </c>
      <c r="R4" s="94">
        <v>-58.971000000000004</v>
      </c>
      <c r="S4" s="94">
        <v>3725.8669999999997</v>
      </c>
      <c r="T4" s="94">
        <v>3878.7589999999996</v>
      </c>
      <c r="U4" s="94">
        <v>4922.5360000000001</v>
      </c>
      <c r="V4" s="94">
        <v>5925.9219999999996</v>
      </c>
      <c r="W4" s="94">
        <v>6318.23</v>
      </c>
    </row>
    <row r="5" spans="1:23" ht="15" customHeight="1" x14ac:dyDescent="0.3">
      <c r="A5" s="23" t="s">
        <v>42</v>
      </c>
      <c r="B5" s="30"/>
      <c r="C5" s="30"/>
      <c r="D5" s="30"/>
      <c r="E5" s="24">
        <f t="shared" ref="E5:J5" si="2">((E3/B3)^(1/3)-1)</f>
        <v>0.53758860024742661</v>
      </c>
      <c r="F5" s="24">
        <f t="shared" si="2"/>
        <v>0.53630112346241821</v>
      </c>
      <c r="G5" s="24">
        <f t="shared" si="2"/>
        <v>0.1421252690902961</v>
      </c>
      <c r="H5" s="24">
        <f t="shared" si="2"/>
        <v>0.195030384155362</v>
      </c>
      <c r="I5" s="24">
        <f t="shared" si="2"/>
        <v>0.31726924774036247</v>
      </c>
      <c r="J5" s="24">
        <f t="shared" si="2"/>
        <v>0.3545987219209894</v>
      </c>
      <c r="K5" s="30">
        <v>0</v>
      </c>
      <c r="L5" s="83"/>
      <c r="M5" s="16" t="s">
        <v>4</v>
      </c>
      <c r="N5" s="18">
        <f t="shared" ref="N5:U5" si="3">SUM(N3:N4)</f>
        <v>1382.9560000000001</v>
      </c>
      <c r="O5" s="18">
        <f t="shared" si="3"/>
        <v>1407.2760000000003</v>
      </c>
      <c r="P5" s="18">
        <f t="shared" si="3"/>
        <v>1432.8580000000002</v>
      </c>
      <c r="Q5" s="18">
        <f t="shared" si="3"/>
        <v>997.08</v>
      </c>
      <c r="R5" s="18">
        <f t="shared" si="3"/>
        <v>390.55100000000004</v>
      </c>
      <c r="S5" s="18">
        <f t="shared" si="3"/>
        <v>4351.5990000000002</v>
      </c>
      <c r="T5" s="18">
        <f t="shared" si="3"/>
        <v>4517.0589999999993</v>
      </c>
      <c r="U5" s="18">
        <f t="shared" si="3"/>
        <v>5601.5110000000004</v>
      </c>
      <c r="V5" s="18">
        <v>6606.3429999999998</v>
      </c>
      <c r="W5" s="18">
        <f>SUM(W3:W4)</f>
        <v>7002.7189999999991</v>
      </c>
    </row>
    <row r="6" spans="1:23" ht="15" customHeight="1" x14ac:dyDescent="0.3">
      <c r="A6" s="3" t="s">
        <v>43</v>
      </c>
      <c r="B6" s="5"/>
      <c r="C6" s="5">
        <f>SUM(C7:C12)</f>
        <v>649.77800000000002</v>
      </c>
      <c r="D6" s="5">
        <f t="shared" ref="D6:H6" si="4">SUM(D7:D12)</f>
        <v>1508.116</v>
      </c>
      <c r="E6" s="5">
        <f t="shared" si="4"/>
        <v>2219.6060000000002</v>
      </c>
      <c r="F6" s="5">
        <f t="shared" si="4"/>
        <v>2287.462</v>
      </c>
      <c r="G6" s="5">
        <f t="shared" si="4"/>
        <v>2177.2980000000002</v>
      </c>
      <c r="H6" s="5">
        <f t="shared" si="4"/>
        <v>3485</v>
      </c>
      <c r="I6" s="5">
        <f>SUM(I7:I12)</f>
        <v>4502.4790000000003</v>
      </c>
      <c r="J6" s="5">
        <f>SUM(J7:J12)</f>
        <v>4578.2080000000005</v>
      </c>
      <c r="K6" s="5">
        <f>SUM(K7:K12)</f>
        <v>3521.8539999999998</v>
      </c>
      <c r="L6" s="82"/>
      <c r="N6" s="5"/>
      <c r="O6" s="5"/>
      <c r="P6" s="5"/>
      <c r="Q6" s="5"/>
      <c r="R6" s="5"/>
      <c r="S6" s="5"/>
      <c r="T6" s="5"/>
    </row>
    <row r="7" spans="1:23" ht="15" customHeight="1" x14ac:dyDescent="0.3">
      <c r="A7" s="1" t="s">
        <v>44</v>
      </c>
      <c r="B7" s="93">
        <v>256.200064</v>
      </c>
      <c r="C7" s="94">
        <v>245.93400000000003</v>
      </c>
      <c r="D7" s="94">
        <v>953.32500000000005</v>
      </c>
      <c r="E7" s="94">
        <v>1653.4670000000001</v>
      </c>
      <c r="F7" s="94">
        <v>1607.9360000000001</v>
      </c>
      <c r="G7" s="94">
        <v>1469.3000000000002</v>
      </c>
      <c r="H7" s="94">
        <v>2641.1819999999998</v>
      </c>
      <c r="I7" s="94">
        <v>3392.6610000000001</v>
      </c>
      <c r="J7" s="94">
        <v>3201.0680000000002</v>
      </c>
      <c r="K7" s="94">
        <v>2512.2060000000001</v>
      </c>
      <c r="L7" s="82"/>
      <c r="M7" t="s">
        <v>5</v>
      </c>
      <c r="N7" s="94">
        <v>1734.15</v>
      </c>
      <c r="O7" s="94">
        <v>3489.5449999999996</v>
      </c>
      <c r="P7" s="94">
        <v>4337.0379999999996</v>
      </c>
      <c r="Q7" s="94">
        <v>3578.154</v>
      </c>
      <c r="R7" s="94">
        <v>2785.0529999999999</v>
      </c>
      <c r="S7" s="94">
        <v>2143.4499999999998</v>
      </c>
      <c r="T7" s="94">
        <v>2065.1099999999997</v>
      </c>
      <c r="U7" s="94">
        <v>1426.644</v>
      </c>
      <c r="V7" s="94">
        <v>1047.693</v>
      </c>
      <c r="W7" s="94">
        <v>859.35599999999999</v>
      </c>
    </row>
    <row r="8" spans="1:23" ht="15" customHeight="1" x14ac:dyDescent="0.3">
      <c r="A8" s="1" t="s">
        <v>149</v>
      </c>
      <c r="B8" s="93">
        <v>104.92399500000001</v>
      </c>
      <c r="C8" s="94">
        <v>222.18</v>
      </c>
      <c r="D8" s="94">
        <v>368.16199999999992</v>
      </c>
      <c r="E8" s="94">
        <v>3.5190000000000001</v>
      </c>
      <c r="F8" s="94">
        <v>0</v>
      </c>
      <c r="G8" s="94">
        <v>0</v>
      </c>
      <c r="H8" s="5">
        <v>0</v>
      </c>
      <c r="I8" s="5">
        <v>0</v>
      </c>
      <c r="J8" s="80">
        <v>0</v>
      </c>
      <c r="K8" s="80">
        <v>0</v>
      </c>
      <c r="L8" s="84"/>
      <c r="M8" t="s">
        <v>6</v>
      </c>
      <c r="N8" s="94">
        <v>218.21199999999999</v>
      </c>
      <c r="O8" s="94">
        <v>211.55100000000002</v>
      </c>
      <c r="P8" s="94">
        <v>514.19100000000003</v>
      </c>
      <c r="Q8" s="94">
        <v>1102.415</v>
      </c>
      <c r="R8" s="94">
        <v>1273.758</v>
      </c>
      <c r="S8" s="94">
        <v>550</v>
      </c>
      <c r="T8" s="94">
        <v>623.41999999999996</v>
      </c>
      <c r="U8" s="94">
        <v>390.29700000000003</v>
      </c>
      <c r="V8" s="94">
        <v>274.58999999999997</v>
      </c>
      <c r="W8" s="94">
        <v>386.97899999999998</v>
      </c>
    </row>
    <row r="9" spans="1:23" ht="15" customHeight="1" x14ac:dyDescent="0.3">
      <c r="A9" s="1" t="s">
        <v>58</v>
      </c>
      <c r="B9" s="93">
        <v>25.409524999999999</v>
      </c>
      <c r="C9" s="94">
        <v>9.8109999999999999</v>
      </c>
      <c r="D9" s="94">
        <v>-216.565</v>
      </c>
      <c r="E9" s="94">
        <v>-136.28</v>
      </c>
      <c r="F9" s="94">
        <v>23.451000000000001</v>
      </c>
      <c r="G9" s="94">
        <v>123.452</v>
      </c>
      <c r="H9" s="94">
        <v>-41.611000000000004</v>
      </c>
      <c r="I9" s="94">
        <v>-105.035</v>
      </c>
      <c r="J9" s="94">
        <v>68.814999999999998</v>
      </c>
      <c r="K9" s="94">
        <v>-43.146000000000001</v>
      </c>
      <c r="L9" s="85"/>
      <c r="M9" s="16" t="s">
        <v>26</v>
      </c>
      <c r="N9" s="18">
        <f t="shared" ref="N9:P9" si="5">SUM(N7:N8)</f>
        <v>1952.3620000000001</v>
      </c>
      <c r="O9" s="18">
        <f t="shared" si="5"/>
        <v>3701.0959999999995</v>
      </c>
      <c r="P9" s="18">
        <f t="shared" si="5"/>
        <v>4851.2289999999994</v>
      </c>
      <c r="Q9" s="18">
        <f t="shared" ref="Q9:V9" si="6">SUM(Q7:Q8)</f>
        <v>4680.5689999999995</v>
      </c>
      <c r="R9" s="18">
        <f t="shared" si="6"/>
        <v>4058.8109999999997</v>
      </c>
      <c r="S9" s="18">
        <f t="shared" si="6"/>
        <v>2693.45</v>
      </c>
      <c r="T9" s="18">
        <f t="shared" si="6"/>
        <v>2688.5299999999997</v>
      </c>
      <c r="U9" s="18">
        <f t="shared" si="6"/>
        <v>1816.941</v>
      </c>
      <c r="V9" s="18">
        <f t="shared" si="6"/>
        <v>1322.2829999999999</v>
      </c>
      <c r="W9" s="18">
        <f>SUM(W7:W8)</f>
        <v>1246.335</v>
      </c>
    </row>
    <row r="10" spans="1:23" ht="15" customHeight="1" x14ac:dyDescent="0.3">
      <c r="A10" s="1" t="s">
        <v>63</v>
      </c>
      <c r="B10" s="93">
        <v>54.952036</v>
      </c>
      <c r="C10" s="94">
        <v>62.452999999999996</v>
      </c>
      <c r="D10" s="94">
        <v>30.224000000000004</v>
      </c>
      <c r="E10" s="94">
        <v>0</v>
      </c>
      <c r="F10" s="94">
        <v>0</v>
      </c>
      <c r="G10" s="94">
        <v>0</v>
      </c>
      <c r="H10" s="80" t="s">
        <v>57</v>
      </c>
      <c r="I10" s="80">
        <v>0</v>
      </c>
      <c r="J10" s="80">
        <v>0</v>
      </c>
      <c r="K10" s="80">
        <v>0</v>
      </c>
      <c r="L10" s="84"/>
      <c r="M10" s="2"/>
      <c r="N10" s="8"/>
      <c r="O10" s="8"/>
      <c r="P10" s="8"/>
      <c r="Q10" s="8"/>
      <c r="R10" s="8"/>
      <c r="S10" s="9"/>
      <c r="T10" s="9"/>
    </row>
    <row r="11" spans="1:23" ht="15" customHeight="1" x14ac:dyDescent="0.3">
      <c r="A11" s="1" t="s">
        <v>45</v>
      </c>
      <c r="B11" s="93">
        <v>83.271557000000001</v>
      </c>
      <c r="C11" s="94">
        <v>69.751000000000005</v>
      </c>
      <c r="D11" s="94">
        <v>149.65299999999999</v>
      </c>
      <c r="E11" s="94">
        <v>311.63200000000001</v>
      </c>
      <c r="F11" s="94">
        <v>308.06799999999998</v>
      </c>
      <c r="G11" s="94">
        <v>242.29400000000001</v>
      </c>
      <c r="H11" s="94">
        <v>344.346</v>
      </c>
      <c r="I11" s="94">
        <v>442.98700000000002</v>
      </c>
      <c r="J11" s="85">
        <v>595.70899999999995</v>
      </c>
      <c r="K11" s="85">
        <v>485.6</v>
      </c>
      <c r="L11" s="82"/>
      <c r="M11" s="16" t="s">
        <v>28</v>
      </c>
      <c r="N11" s="17">
        <f t="shared" ref="N11:V11" si="7">N5+N7+N51</f>
        <v>3418.3530000000001</v>
      </c>
      <c r="O11" s="17">
        <f t="shared" si="7"/>
        <v>5201.6139999999996</v>
      </c>
      <c r="P11" s="17">
        <f t="shared" si="7"/>
        <v>5858.125</v>
      </c>
      <c r="Q11" s="17">
        <f t="shared" si="7"/>
        <v>4625.1020000000008</v>
      </c>
      <c r="R11" s="17">
        <f t="shared" si="7"/>
        <v>3225.319</v>
      </c>
      <c r="S11" s="17">
        <f t="shared" si="7"/>
        <v>6548.4939999999997</v>
      </c>
      <c r="T11" s="17">
        <f t="shared" si="7"/>
        <v>6639.7239999999993</v>
      </c>
      <c r="U11" s="17">
        <f t="shared" si="7"/>
        <v>7093.1160000000009</v>
      </c>
      <c r="V11" s="17">
        <f t="shared" si="7"/>
        <v>7729.5969999999998</v>
      </c>
      <c r="W11" s="17">
        <f>W5+W7+W51</f>
        <v>7931.8549999999987</v>
      </c>
    </row>
    <row r="12" spans="1:23" ht="15" customHeight="1" x14ac:dyDescent="0.3">
      <c r="A12" s="1" t="s">
        <v>46</v>
      </c>
      <c r="B12" s="93">
        <v>54.917216000000003</v>
      </c>
      <c r="C12" s="94">
        <v>39.649000000000001</v>
      </c>
      <c r="D12" s="94">
        <v>223.31700000000001</v>
      </c>
      <c r="E12" s="94">
        <v>387.26799999999997</v>
      </c>
      <c r="F12" s="94">
        <v>348.00700000000001</v>
      </c>
      <c r="G12" s="94">
        <v>342.25200000000001</v>
      </c>
      <c r="H12" s="94">
        <v>541.08299999999997</v>
      </c>
      <c r="I12" s="94">
        <v>771.86599999999999</v>
      </c>
      <c r="J12" s="94">
        <v>712.61599999999999</v>
      </c>
      <c r="K12" s="94">
        <v>567.19399999999996</v>
      </c>
      <c r="L12" s="86"/>
      <c r="M12" s="16" t="s">
        <v>29</v>
      </c>
      <c r="N12" s="17">
        <f>N56-N45-N8</f>
        <v>3418.3550000000005</v>
      </c>
      <c r="O12" s="17">
        <f>O56-O45-O8</f>
        <v>5201.616</v>
      </c>
      <c r="P12" s="17">
        <f>P56-P45-P8</f>
        <v>5858.1210000000001</v>
      </c>
      <c r="Q12" s="17">
        <f>Q56-Q45-Q8</f>
        <v>4625.1470000000008</v>
      </c>
      <c r="R12" s="17">
        <f>R56-R45-R8</f>
        <v>3225.3240000000005</v>
      </c>
      <c r="S12" s="17">
        <f>S56-S45-S8-S53</f>
        <v>6548.4960000000001</v>
      </c>
      <c r="T12" s="17">
        <f>T56-T45-T8-T53</f>
        <v>6639.7240000000011</v>
      </c>
      <c r="U12" s="17">
        <f>U56-U45-U8-U53</f>
        <v>7093.1150000000016</v>
      </c>
      <c r="V12" s="17">
        <f>V56-V45-V8-V53</f>
        <v>7729.5960000000005</v>
      </c>
      <c r="W12" s="17">
        <f>W56-W45-W8-W53</f>
        <v>7931.8569999999991</v>
      </c>
    </row>
    <row r="13" spans="1:23" ht="15" customHeight="1" x14ac:dyDescent="0.3">
      <c r="A13" s="16" t="s">
        <v>47</v>
      </c>
      <c r="B13" s="17">
        <f t="shared" ref="B13:G13" si="8">B3-SUM(B7:B12)</f>
        <v>82.306114999999977</v>
      </c>
      <c r="C13" s="17">
        <f t="shared" si="8"/>
        <v>60.961000000000013</v>
      </c>
      <c r="D13" s="17">
        <f t="shared" si="8"/>
        <v>171.08300000000008</v>
      </c>
      <c r="E13" s="17">
        <f t="shared" si="8"/>
        <v>186.7819999999997</v>
      </c>
      <c r="F13" s="17">
        <f t="shared" si="8"/>
        <v>289.68499999999995</v>
      </c>
      <c r="G13" s="17">
        <f t="shared" si="8"/>
        <v>324.44900000000007</v>
      </c>
      <c r="H13" s="17">
        <f>H3-SUM(H7:H12)</f>
        <v>621.79</v>
      </c>
      <c r="I13" s="17">
        <f>I3-SUM(I7:I12)</f>
        <v>1388.1660000000002</v>
      </c>
      <c r="J13" s="17">
        <f>J3-SUM(J7:J12)</f>
        <v>1640.1449999999995</v>
      </c>
      <c r="K13" s="17">
        <f>K3-SUM(K7:K12)</f>
        <v>952.96099999999979</v>
      </c>
      <c r="L13" s="87"/>
      <c r="N13" s="5"/>
      <c r="O13" s="5"/>
      <c r="P13" s="5"/>
      <c r="Q13" s="5"/>
      <c r="R13" s="5"/>
      <c r="S13" s="5"/>
      <c r="T13" s="5"/>
    </row>
    <row r="14" spans="1:23" ht="15" customHeight="1" x14ac:dyDescent="0.3">
      <c r="A14" s="23" t="s">
        <v>48</v>
      </c>
      <c r="B14" s="29">
        <f t="shared" ref="B14:G14" si="9">B13/B3</f>
        <v>0.12433313973045257</v>
      </c>
      <c r="C14" s="37">
        <f t="shared" si="9"/>
        <v>8.5771288757194988E-2</v>
      </c>
      <c r="D14" s="37">
        <f t="shared" si="9"/>
        <v>0.10188369573826574</v>
      </c>
      <c r="E14" s="37">
        <f t="shared" si="9"/>
        <v>7.7619236798055713E-2</v>
      </c>
      <c r="F14" s="37">
        <f t="shared" si="9"/>
        <v>0.11240530710898523</v>
      </c>
      <c r="G14" s="37">
        <f t="shared" si="9"/>
        <v>0.12968897334542623</v>
      </c>
      <c r="H14" s="37">
        <f t="shared" ref="H14:J14" si="10">H13/H3</f>
        <v>0.15140535552097867</v>
      </c>
      <c r="I14" s="37">
        <f t="shared" si="10"/>
        <v>0.23565602748086162</v>
      </c>
      <c r="J14" s="37">
        <f t="shared" si="10"/>
        <v>0.26375874769412405</v>
      </c>
      <c r="K14" s="37">
        <f>K13/K3</f>
        <v>0.21296098274453801</v>
      </c>
      <c r="L14" s="83"/>
      <c r="M14" s="16" t="s">
        <v>7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ht="15" customHeight="1" x14ac:dyDescent="0.3">
      <c r="A15" s="23" t="s">
        <v>41</v>
      </c>
      <c r="B15" s="24"/>
      <c r="C15" s="24">
        <f t="shared" ref="C15" si="11">C14/B14-1</f>
        <v>-0.310149418384009</v>
      </c>
      <c r="D15" s="24">
        <f t="shared" ref="D15" si="12">D14/C14-1</f>
        <v>0.187853152430558</v>
      </c>
      <c r="E15" s="24">
        <f t="shared" ref="E15" si="13">E14/D14-1</f>
        <v>-0.23815840959032586</v>
      </c>
      <c r="F15" s="24">
        <f t="shared" ref="F15:J15" si="14">F13/E13-1</f>
        <v>0.55092567806319881</v>
      </c>
      <c r="G15" s="24">
        <f t="shared" si="14"/>
        <v>0.12000621364585706</v>
      </c>
      <c r="H15" s="24">
        <f t="shared" si="14"/>
        <v>0.91644911835141984</v>
      </c>
      <c r="I15" s="24">
        <f t="shared" si="14"/>
        <v>1.2325318837549659</v>
      </c>
      <c r="J15" s="24">
        <f t="shared" si="14"/>
        <v>0.18151935719503243</v>
      </c>
      <c r="K15" s="30">
        <v>0</v>
      </c>
      <c r="L15" s="83"/>
      <c r="M15" s="4" t="s">
        <v>8</v>
      </c>
      <c r="N15" s="5"/>
      <c r="O15" s="5"/>
      <c r="P15" s="5"/>
      <c r="Q15" s="5"/>
      <c r="R15" s="5"/>
      <c r="S15" s="5"/>
      <c r="T15" s="5"/>
    </row>
    <row r="16" spans="1:23" ht="15" customHeight="1" x14ac:dyDescent="0.3">
      <c r="A16" s="23" t="s">
        <v>42</v>
      </c>
      <c r="B16" s="28"/>
      <c r="C16" s="28"/>
      <c r="D16" s="28"/>
      <c r="E16" s="24">
        <f t="shared" ref="E16:J16" si="15">((E13/B13)^(1/3)-1)</f>
        <v>0.31411782507573704</v>
      </c>
      <c r="F16" s="24">
        <f t="shared" si="15"/>
        <v>0.6812203638510681</v>
      </c>
      <c r="G16" s="24">
        <f t="shared" si="15"/>
        <v>0.23778873982309467</v>
      </c>
      <c r="H16" s="24">
        <f t="shared" si="15"/>
        <v>0.49314816175917486</v>
      </c>
      <c r="I16" s="24">
        <f t="shared" si="15"/>
        <v>0.68592583223479764</v>
      </c>
      <c r="J16" s="24">
        <f t="shared" si="15"/>
        <v>0.71624229881479318</v>
      </c>
      <c r="K16" s="30">
        <v>0</v>
      </c>
      <c r="L16" s="82"/>
      <c r="M16" t="s">
        <v>9</v>
      </c>
      <c r="N16" s="94">
        <v>648.36</v>
      </c>
      <c r="O16" s="94">
        <v>3398.8470000000002</v>
      </c>
      <c r="P16" s="94">
        <v>5654.0389999999998</v>
      </c>
      <c r="Q16" s="94">
        <v>5602.7820000000002</v>
      </c>
      <c r="R16" s="94">
        <v>5385.7300000000005</v>
      </c>
      <c r="S16" s="94">
        <v>5126.2970000000005</v>
      </c>
      <c r="T16" s="94">
        <v>4914.6859999999997</v>
      </c>
      <c r="U16" s="94">
        <v>4808.9269999999997</v>
      </c>
      <c r="V16" s="94">
        <v>4749.96</v>
      </c>
      <c r="W16" s="94">
        <v>4746.2309999999998</v>
      </c>
    </row>
    <row r="17" spans="1:23" ht="15" customHeight="1" x14ac:dyDescent="0.3">
      <c r="A17" t="s">
        <v>49</v>
      </c>
      <c r="B17" s="5">
        <v>0</v>
      </c>
      <c r="C17" s="94">
        <v>32.516000000000005</v>
      </c>
      <c r="D17" s="94">
        <v>207.29000000000002</v>
      </c>
      <c r="E17" s="94">
        <v>9.1879999999999988</v>
      </c>
      <c r="F17" s="94">
        <v>3.0379999999999994</v>
      </c>
      <c r="G17" s="94">
        <v>5.109</v>
      </c>
      <c r="H17" s="94">
        <v>5.8040000000000003</v>
      </c>
      <c r="I17" s="94">
        <v>6.6929999999999996</v>
      </c>
      <c r="J17" s="94">
        <v>8.2159999999999993</v>
      </c>
      <c r="K17" s="94">
        <v>6.0880000000000001</v>
      </c>
      <c r="L17" s="82"/>
      <c r="M17" t="s">
        <v>10</v>
      </c>
      <c r="N17" s="94">
        <v>1593.925</v>
      </c>
      <c r="O17" s="94">
        <f>(14197.63+10.7)/10</f>
        <v>1420.8330000000001</v>
      </c>
      <c r="P17" s="94">
        <f>(194.1+21.4)/10</f>
        <v>21.55</v>
      </c>
      <c r="Q17" s="94">
        <v>6.0549999999999997</v>
      </c>
      <c r="R17" s="94">
        <v>5.3780000000000001</v>
      </c>
      <c r="S17" s="94">
        <v>6.2080000000000002</v>
      </c>
      <c r="T17" s="94">
        <f>(29.25+12.38)/10</f>
        <v>4.1630000000000003</v>
      </c>
      <c r="U17" s="5">
        <v>30.620999999999999</v>
      </c>
      <c r="V17" s="94">
        <v>123.202</v>
      </c>
      <c r="W17" s="94">
        <v>348.91</v>
      </c>
    </row>
    <row r="18" spans="1:23" ht="15" customHeight="1" x14ac:dyDescent="0.3">
      <c r="A18" s="1" t="s">
        <v>50</v>
      </c>
      <c r="B18" s="93">
        <v>22.917158000000001</v>
      </c>
      <c r="C18" s="94">
        <v>38.851999999999997</v>
      </c>
      <c r="D18" s="94">
        <v>123.47899999999998</v>
      </c>
      <c r="E18" s="94">
        <v>210.27699999999999</v>
      </c>
      <c r="F18" s="94">
        <v>218.04499999999996</v>
      </c>
      <c r="G18" s="94">
        <v>216.86999999999998</v>
      </c>
      <c r="H18" s="94">
        <v>214.41199999999998</v>
      </c>
      <c r="I18" s="94">
        <v>206.56800000000001</v>
      </c>
      <c r="J18" s="94">
        <v>211.636</v>
      </c>
      <c r="K18" s="94">
        <v>162.86699999999999</v>
      </c>
      <c r="L18" s="82"/>
      <c r="M18" t="s">
        <v>30</v>
      </c>
      <c r="N18" s="94">
        <v>2.1520000000000001</v>
      </c>
      <c r="O18" s="94">
        <v>2.02</v>
      </c>
      <c r="P18" s="94">
        <v>1.613</v>
      </c>
      <c r="Q18" s="94">
        <v>1.0840000000000001</v>
      </c>
      <c r="R18" s="94">
        <v>0.55599999999999994</v>
      </c>
      <c r="S18" s="94">
        <v>0.45599999999999996</v>
      </c>
      <c r="T18" s="94">
        <f>(3.5)/10</f>
        <v>0.35</v>
      </c>
      <c r="U18" s="94">
        <v>2.9350000000000001</v>
      </c>
      <c r="V18" s="94">
        <v>2.6030000000000002</v>
      </c>
      <c r="W18" s="94">
        <v>2.4649999999999999</v>
      </c>
    </row>
    <row r="19" spans="1:23" ht="15" customHeight="1" x14ac:dyDescent="0.3">
      <c r="A19" s="1" t="s">
        <v>59</v>
      </c>
      <c r="B19" s="93">
        <v>37.214013999999999</v>
      </c>
      <c r="C19" s="94">
        <v>25.419999999999998</v>
      </c>
      <c r="D19" s="94">
        <v>251.84300000000002</v>
      </c>
      <c r="E19" s="94">
        <v>726.29199999999992</v>
      </c>
      <c r="F19" s="94">
        <v>894.69500000000016</v>
      </c>
      <c r="G19" s="94">
        <v>340.71199999999999</v>
      </c>
      <c r="H19" s="94">
        <v>233.90300000000002</v>
      </c>
      <c r="I19" s="94">
        <v>221.989</v>
      </c>
      <c r="J19" s="94">
        <v>147.863</v>
      </c>
      <c r="K19" s="94">
        <v>97.003</v>
      </c>
      <c r="L19" s="82"/>
      <c r="M19" t="s">
        <v>174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5">
        <v>0</v>
      </c>
      <c r="U19" s="94">
        <v>4.3</v>
      </c>
      <c r="V19" s="94">
        <v>4.8840000000000003</v>
      </c>
      <c r="W19" s="94">
        <v>5.7190000000000003</v>
      </c>
    </row>
    <row r="20" spans="1:23" ht="15" customHeight="1" x14ac:dyDescent="0.3">
      <c r="A20" s="15" t="s">
        <v>99</v>
      </c>
      <c r="B20" s="5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5">
        <v>0</v>
      </c>
      <c r="I20" s="5">
        <v>0</v>
      </c>
      <c r="J20" s="5">
        <v>0</v>
      </c>
      <c r="K20" s="5">
        <v>0</v>
      </c>
      <c r="L20" s="88"/>
      <c r="M20" s="3" t="s">
        <v>11</v>
      </c>
      <c r="N20" s="94">
        <v>0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5">
        <v>0</v>
      </c>
      <c r="U20" s="5">
        <v>0</v>
      </c>
      <c r="V20" s="5">
        <v>0</v>
      </c>
    </row>
    <row r="21" spans="1:23" ht="15" customHeight="1" x14ac:dyDescent="0.3">
      <c r="A21" s="32" t="s">
        <v>179</v>
      </c>
      <c r="B21" s="31">
        <f t="shared" ref="B21:H21" si="16">B13+B17-SUM(B18:B20)</f>
        <v>22.174942999999978</v>
      </c>
      <c r="C21" s="31">
        <f t="shared" si="16"/>
        <v>29.205000000000027</v>
      </c>
      <c r="D21" s="31">
        <f t="shared" si="16"/>
        <v>3.0510000000001014</v>
      </c>
      <c r="E21" s="31">
        <f t="shared" si="16"/>
        <v>-740.59900000000027</v>
      </c>
      <c r="F21" s="31">
        <f t="shared" si="16"/>
        <v>-820.01700000000028</v>
      </c>
      <c r="G21" s="31">
        <f t="shared" si="16"/>
        <v>-228.02399999999994</v>
      </c>
      <c r="H21" s="31">
        <f t="shared" si="16"/>
        <v>179.27899999999994</v>
      </c>
      <c r="I21" s="31">
        <f>I13+I17-SUM(I18:I20)</f>
        <v>966.30200000000013</v>
      </c>
      <c r="J21" s="31">
        <f>J13+J17-SUM(J18:J20)</f>
        <v>1288.8619999999994</v>
      </c>
      <c r="K21" s="31">
        <f>K13+K17-SUM(K18:K20)</f>
        <v>699.17899999999975</v>
      </c>
      <c r="L21" s="89"/>
      <c r="M21" s="1" t="s">
        <v>31</v>
      </c>
      <c r="N21" s="94">
        <v>0</v>
      </c>
      <c r="O21" s="94">
        <v>0</v>
      </c>
      <c r="P21" s="94">
        <v>0</v>
      </c>
      <c r="Q21" s="94">
        <v>0</v>
      </c>
      <c r="R21" s="94">
        <v>0</v>
      </c>
      <c r="S21" s="94">
        <v>0</v>
      </c>
      <c r="T21" s="5">
        <v>0</v>
      </c>
      <c r="U21" s="5">
        <v>0</v>
      </c>
      <c r="V21" s="5">
        <v>0</v>
      </c>
    </row>
    <row r="22" spans="1:23" ht="15" customHeight="1" x14ac:dyDescent="0.3">
      <c r="A22" s="15" t="s">
        <v>180</v>
      </c>
      <c r="B22" s="5"/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-0.22900000000000001</v>
      </c>
      <c r="J22" s="94">
        <v>1.361</v>
      </c>
      <c r="K22" s="94">
        <v>0</v>
      </c>
      <c r="L22" s="90"/>
      <c r="M22" s="1" t="s">
        <v>12</v>
      </c>
      <c r="N22" s="94">
        <v>1.2849999999999999</v>
      </c>
      <c r="O22" s="94">
        <v>1.2849999999999999</v>
      </c>
      <c r="P22" s="94">
        <v>2.5309999999999997</v>
      </c>
      <c r="Q22" s="94">
        <v>7.2810000000000006</v>
      </c>
      <c r="R22" s="94">
        <v>21.711000000000002</v>
      </c>
      <c r="S22" s="94">
        <v>21.711000000000002</v>
      </c>
      <c r="T22" s="94">
        <v>97.835000000000008</v>
      </c>
      <c r="U22" s="94">
        <f>20.014+23.854</f>
        <v>43.867999999999995</v>
      </c>
      <c r="V22" s="94">
        <f>19.649+22.467</f>
        <v>42.116</v>
      </c>
      <c r="W22" s="94">
        <v>48.484000000000002</v>
      </c>
    </row>
    <row r="23" spans="1:23" ht="15" customHeight="1" x14ac:dyDescent="0.3">
      <c r="A23" s="2" t="s">
        <v>181</v>
      </c>
      <c r="C23" s="6">
        <f>C21-C22</f>
        <v>29.205000000000027</v>
      </c>
      <c r="D23" s="6">
        <f t="shared" ref="D23:K23" si="17">D21-D22</f>
        <v>3.0510000000001014</v>
      </c>
      <c r="E23" s="6">
        <f t="shared" si="17"/>
        <v>-740.59900000000027</v>
      </c>
      <c r="F23" s="6">
        <f t="shared" si="17"/>
        <v>-820.01700000000028</v>
      </c>
      <c r="G23" s="6">
        <f t="shared" si="17"/>
        <v>-228.02399999999994</v>
      </c>
      <c r="H23" s="6">
        <f t="shared" si="17"/>
        <v>179.27899999999994</v>
      </c>
      <c r="I23" s="6">
        <f>I21+I22</f>
        <v>966.07300000000009</v>
      </c>
      <c r="J23" s="6">
        <f t="shared" si="17"/>
        <v>1287.5009999999993</v>
      </c>
      <c r="K23" s="6">
        <f>K21-K22</f>
        <v>699.17899999999975</v>
      </c>
      <c r="L23" s="88"/>
      <c r="M23" t="s">
        <v>154</v>
      </c>
      <c r="N23" s="94">
        <v>0</v>
      </c>
      <c r="O23" s="94">
        <v>0</v>
      </c>
      <c r="P23" s="94">
        <v>0</v>
      </c>
      <c r="Q23" s="94">
        <v>253.72800000000001</v>
      </c>
      <c r="R23" s="94">
        <v>464.14799999999997</v>
      </c>
      <c r="S23" s="94">
        <v>523.875</v>
      </c>
      <c r="T23" s="94">
        <v>480.233</v>
      </c>
      <c r="U23" s="94">
        <v>142.339</v>
      </c>
      <c r="V23" s="94">
        <v>-182.23</v>
      </c>
      <c r="W23" s="94">
        <v>-311.73599999999999</v>
      </c>
    </row>
    <row r="24" spans="1:23" ht="15" customHeight="1" x14ac:dyDescent="0.3">
      <c r="A24" t="s">
        <v>51</v>
      </c>
      <c r="B24" s="93">
        <v>8.7472209999999997</v>
      </c>
      <c r="C24" s="94">
        <v>4.8049999999999997</v>
      </c>
      <c r="D24" s="94">
        <v>0.56100000000000005</v>
      </c>
      <c r="E24" s="94">
        <v>-295.04200000000003</v>
      </c>
      <c r="F24" s="94">
        <v>-210.44</v>
      </c>
      <c r="G24" s="94">
        <v>-60.152000000000001</v>
      </c>
      <c r="H24" s="94">
        <v>42.631999999999998</v>
      </c>
      <c r="I24" s="94">
        <v>343.72899999999998</v>
      </c>
      <c r="J24" s="94">
        <v>325.49900000000002</v>
      </c>
      <c r="K24" s="94">
        <v>181.27099999999999</v>
      </c>
      <c r="L24" s="91"/>
      <c r="M24" t="s">
        <v>13</v>
      </c>
      <c r="N24" s="94">
        <v>610.13</v>
      </c>
      <c r="O24" s="94">
        <v>209.99499999999998</v>
      </c>
      <c r="P24" s="94">
        <v>84.16</v>
      </c>
      <c r="Q24" s="94">
        <v>106.202</v>
      </c>
      <c r="R24" s="94">
        <v>105.822</v>
      </c>
      <c r="S24" s="94">
        <v>105.79100000000001</v>
      </c>
      <c r="T24" s="94">
        <v>85.751999999999995</v>
      </c>
      <c r="U24" s="94">
        <v>35.951999999999998</v>
      </c>
      <c r="V24" s="94">
        <v>101.913</v>
      </c>
      <c r="W24" s="94">
        <v>93.673000000000002</v>
      </c>
    </row>
    <row r="25" spans="1:23" ht="15" customHeight="1" x14ac:dyDescent="0.3">
      <c r="A25" s="23" t="s">
        <v>52</v>
      </c>
      <c r="B25" s="29">
        <f t="shared" ref="B25:J25" si="18">B24/B21</f>
        <v>0.39446419321122983</v>
      </c>
      <c r="C25" s="29">
        <f t="shared" si="18"/>
        <v>0.16452662215374064</v>
      </c>
      <c r="D25" s="29">
        <f t="shared" si="18"/>
        <v>0.18387413962634591</v>
      </c>
      <c r="E25" s="29">
        <f t="shared" si="18"/>
        <v>0.39838293057376517</v>
      </c>
      <c r="F25" s="29">
        <f t="shared" si="18"/>
        <v>0.25662882598775383</v>
      </c>
      <c r="G25" s="29">
        <f t="shared" si="18"/>
        <v>0.2637967933200015</v>
      </c>
      <c r="H25" s="29">
        <f t="shared" si="18"/>
        <v>0.23779695335203796</v>
      </c>
      <c r="I25" s="29">
        <f t="shared" si="18"/>
        <v>0.35571591490031063</v>
      </c>
      <c r="J25" s="29">
        <f t="shared" si="18"/>
        <v>0.25254759625157713</v>
      </c>
      <c r="K25" s="29">
        <f>K24/K21</f>
        <v>0.25926264947888888</v>
      </c>
      <c r="L25" s="85"/>
      <c r="M25" s="36" t="s">
        <v>8</v>
      </c>
      <c r="N25" s="33">
        <f t="shared" ref="N25:S25" si="19">SUM(N16:N24)</f>
        <v>2855.8519999999999</v>
      </c>
      <c r="O25" s="33">
        <f t="shared" si="19"/>
        <v>5032.9800000000005</v>
      </c>
      <c r="P25" s="33">
        <f t="shared" si="19"/>
        <v>5763.893</v>
      </c>
      <c r="Q25" s="33">
        <f t="shared" si="19"/>
        <v>5977.1320000000005</v>
      </c>
      <c r="R25" s="33">
        <f t="shared" si="19"/>
        <v>5983.3450000000003</v>
      </c>
      <c r="S25" s="33">
        <f t="shared" si="19"/>
        <v>5784.3380000000006</v>
      </c>
      <c r="T25" s="33">
        <f>SUM(T16:T24)</f>
        <v>5583.0190000000002</v>
      </c>
      <c r="U25" s="33">
        <f>SUM(U16:U24)</f>
        <v>5068.9420000000009</v>
      </c>
      <c r="V25" s="33">
        <f>SUM(V16:V24)</f>
        <v>4842.4480000000003</v>
      </c>
      <c r="W25" s="33">
        <f>SUM(W16:W24)</f>
        <v>4933.7460000000001</v>
      </c>
    </row>
    <row r="26" spans="1:23" ht="15" customHeight="1" x14ac:dyDescent="0.3">
      <c r="A26" s="16" t="s">
        <v>101</v>
      </c>
      <c r="B26" s="33">
        <f>B21-B24</f>
        <v>13.427721999999978</v>
      </c>
      <c r="C26" s="33">
        <f>C23-C24</f>
        <v>24.400000000000027</v>
      </c>
      <c r="D26" s="33">
        <f t="shared" ref="D26:J26" si="20">D23-D24</f>
        <v>2.4900000000001015</v>
      </c>
      <c r="E26" s="33">
        <f t="shared" si="20"/>
        <v>-445.55700000000024</v>
      </c>
      <c r="F26" s="33">
        <f t="shared" si="20"/>
        <v>-609.57700000000023</v>
      </c>
      <c r="G26" s="33">
        <f t="shared" si="20"/>
        <v>-167.87199999999996</v>
      </c>
      <c r="H26" s="33">
        <f t="shared" si="20"/>
        <v>136.64699999999993</v>
      </c>
      <c r="I26" s="33">
        <f t="shared" si="20"/>
        <v>622.34400000000005</v>
      </c>
      <c r="J26" s="33">
        <f t="shared" si="20"/>
        <v>962.00199999999927</v>
      </c>
      <c r="K26" s="33">
        <f>K23-K24</f>
        <v>517.90799999999979</v>
      </c>
      <c r="L26" s="88" t="s">
        <v>176</v>
      </c>
      <c r="N26" s="8"/>
      <c r="O26" s="8"/>
      <c r="P26" s="8"/>
      <c r="Q26" s="8"/>
      <c r="R26" s="8"/>
      <c r="S26" s="9"/>
      <c r="T26" s="9"/>
      <c r="W26" s="94"/>
    </row>
    <row r="27" spans="1:23" ht="15" customHeight="1" x14ac:dyDescent="0.3">
      <c r="A27" s="32" t="s">
        <v>102</v>
      </c>
      <c r="B27" s="31"/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81">
        <v>0</v>
      </c>
      <c r="I27" s="81">
        <v>0</v>
      </c>
      <c r="J27" s="81">
        <v>0</v>
      </c>
      <c r="K27" s="81">
        <v>0</v>
      </c>
      <c r="L27" s="88"/>
      <c r="M27" s="4" t="s">
        <v>14</v>
      </c>
      <c r="N27" s="5"/>
      <c r="O27" s="5"/>
      <c r="P27" s="5"/>
      <c r="Q27" s="5"/>
      <c r="R27" s="5"/>
      <c r="S27" s="5"/>
      <c r="T27" s="5"/>
    </row>
    <row r="28" spans="1:23" ht="15" customHeight="1" x14ac:dyDescent="0.3">
      <c r="A28" t="s">
        <v>51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80">
        <v>0</v>
      </c>
      <c r="I28" s="80">
        <v>0</v>
      </c>
      <c r="J28" s="80">
        <v>0</v>
      </c>
      <c r="K28" s="80">
        <v>0</v>
      </c>
      <c r="L28" s="87"/>
      <c r="M28" t="s">
        <v>15</v>
      </c>
      <c r="N28" s="94">
        <v>344.21999999999997</v>
      </c>
      <c r="O28" s="94">
        <v>437.113</v>
      </c>
      <c r="P28" s="94">
        <v>734.54</v>
      </c>
      <c r="Q28" s="94">
        <v>888.61599999999999</v>
      </c>
      <c r="R28" s="94">
        <v>776.50400000000002</v>
      </c>
      <c r="S28" s="94">
        <v>647.21199999999999</v>
      </c>
      <c r="T28" s="94">
        <v>804.50699999999995</v>
      </c>
      <c r="U28" s="94">
        <v>1100.681</v>
      </c>
      <c r="V28" s="94">
        <v>985.84199999999998</v>
      </c>
      <c r="W28" s="94">
        <v>1071.671</v>
      </c>
    </row>
    <row r="29" spans="1:23" ht="15" customHeight="1" x14ac:dyDescent="0.3">
      <c r="A29" s="16" t="s">
        <v>103</v>
      </c>
      <c r="B29" s="33">
        <f t="shared" ref="B29:G29" si="21">B27-B28</f>
        <v>0</v>
      </c>
      <c r="C29" s="33">
        <f t="shared" si="21"/>
        <v>0</v>
      </c>
      <c r="D29" s="33">
        <f t="shared" si="21"/>
        <v>0</v>
      </c>
      <c r="E29" s="33">
        <f t="shared" si="21"/>
        <v>0</v>
      </c>
      <c r="F29" s="33">
        <f t="shared" si="21"/>
        <v>0</v>
      </c>
      <c r="G29" s="33">
        <f t="shared" si="21"/>
        <v>0</v>
      </c>
      <c r="H29" s="33">
        <f>H27+H28</f>
        <v>0</v>
      </c>
      <c r="I29" s="33">
        <f>I27+I28</f>
        <v>0</v>
      </c>
      <c r="J29" s="33">
        <f t="shared" ref="J29:K29" si="22">J27+J28</f>
        <v>0</v>
      </c>
      <c r="K29" s="33">
        <f t="shared" si="22"/>
        <v>0</v>
      </c>
      <c r="L29" s="83"/>
      <c r="M29" s="3" t="s">
        <v>11</v>
      </c>
      <c r="N29" s="94"/>
      <c r="O29" s="94"/>
      <c r="P29" s="94"/>
      <c r="Q29" s="94"/>
      <c r="R29" s="94"/>
      <c r="S29" s="94"/>
      <c r="T29" s="5"/>
    </row>
    <row r="30" spans="1:23" ht="15" customHeight="1" x14ac:dyDescent="0.3">
      <c r="A30" s="16" t="s">
        <v>104</v>
      </c>
      <c r="B30" s="33">
        <f>B28-B29</f>
        <v>0</v>
      </c>
      <c r="C30" s="33">
        <f t="shared" ref="C30:E30" si="23">C26+C29</f>
        <v>24.400000000000027</v>
      </c>
      <c r="D30" s="33">
        <f t="shared" si="23"/>
        <v>2.4900000000001015</v>
      </c>
      <c r="E30" s="33">
        <f t="shared" si="23"/>
        <v>-445.55700000000024</v>
      </c>
      <c r="F30" s="33">
        <f t="shared" ref="F30:J30" si="24">F26+F29</f>
        <v>-609.57700000000023</v>
      </c>
      <c r="G30" s="33">
        <f t="shared" si="24"/>
        <v>-167.87199999999996</v>
      </c>
      <c r="H30" s="33">
        <f t="shared" si="24"/>
        <v>136.64699999999993</v>
      </c>
      <c r="I30" s="33">
        <f t="shared" si="24"/>
        <v>622.34400000000005</v>
      </c>
      <c r="J30" s="33">
        <f t="shared" si="24"/>
        <v>962.00199999999927</v>
      </c>
      <c r="K30" s="33">
        <f>K26+K29</f>
        <v>517.90799999999979</v>
      </c>
      <c r="L30" s="83"/>
      <c r="M30" s="1" t="s">
        <v>16</v>
      </c>
      <c r="N30" s="94">
        <v>168.83099999999999</v>
      </c>
      <c r="O30" s="94">
        <v>169.30599999999998</v>
      </c>
      <c r="P30" s="94">
        <v>232.279</v>
      </c>
      <c r="Q30" s="94">
        <v>361.69200000000001</v>
      </c>
      <c r="R30" s="94">
        <v>293.86399999999998</v>
      </c>
      <c r="S30" s="94">
        <v>362.76900000000001</v>
      </c>
      <c r="T30" s="94">
        <v>398.976</v>
      </c>
      <c r="U30" s="94">
        <v>476.69</v>
      </c>
      <c r="V30" s="94">
        <v>791.57</v>
      </c>
      <c r="W30" s="94">
        <v>838.50300000000004</v>
      </c>
    </row>
    <row r="31" spans="1:23" ht="15" customHeight="1" x14ac:dyDescent="0.3">
      <c r="A31" s="23" t="s">
        <v>53</v>
      </c>
      <c r="B31" s="29">
        <f>B26/B3</f>
        <v>2.0284165224997801E-2</v>
      </c>
      <c r="C31" s="37">
        <f t="shared" ref="C31:J31" si="25">C30/C3</f>
        <v>3.4330464488370592E-2</v>
      </c>
      <c r="D31" s="37">
        <f t="shared" si="25"/>
        <v>1.4828498587720106E-3</v>
      </c>
      <c r="E31" s="37">
        <f t="shared" si="25"/>
        <v>-0.18515592664192151</v>
      </c>
      <c r="F31" s="37">
        <f t="shared" si="25"/>
        <v>-0.2365317151097707</v>
      </c>
      <c r="G31" s="37">
        <f t="shared" si="25"/>
        <v>-6.7101909185860897E-2</v>
      </c>
      <c r="H31" s="37">
        <f t="shared" si="25"/>
        <v>3.3273432534899505E-2</v>
      </c>
      <c r="I31" s="37">
        <f t="shared" si="25"/>
        <v>0.10564955111027739</v>
      </c>
      <c r="J31" s="37">
        <f t="shared" si="25"/>
        <v>0.15470366510231878</v>
      </c>
      <c r="K31" s="37">
        <f>K30/K3</f>
        <v>0.11573841600155534</v>
      </c>
      <c r="L31" s="82"/>
      <c r="M31" s="1" t="s">
        <v>17</v>
      </c>
      <c r="N31" s="94">
        <v>703.93299999999999</v>
      </c>
      <c r="O31" s="94">
        <v>17.863999999999997</v>
      </c>
      <c r="P31" s="94">
        <v>192.995</v>
      </c>
      <c r="Q31" s="94">
        <v>3.403</v>
      </c>
      <c r="R31" s="94">
        <v>7.7439999999999998</v>
      </c>
      <c r="S31" s="94">
        <v>4.9279999999999999</v>
      </c>
      <c r="T31" s="94">
        <v>28.726999999999997</v>
      </c>
      <c r="U31" s="94">
        <v>0.38100000000000001</v>
      </c>
      <c r="V31" s="94">
        <v>0.56200000000000006</v>
      </c>
      <c r="W31" s="94">
        <v>0.66100000000000003</v>
      </c>
    </row>
    <row r="32" spans="1:23" ht="15" customHeight="1" x14ac:dyDescent="0.3">
      <c r="A32" s="23" t="s">
        <v>41</v>
      </c>
      <c r="B32" s="24"/>
      <c r="C32" s="24">
        <f t="shared" ref="C32" si="26">C31/B31-1</f>
        <v>0.69247608208507438</v>
      </c>
      <c r="D32" s="24">
        <f t="shared" ref="D32" si="27">D31/C31-1</f>
        <v>-0.95680658910763283</v>
      </c>
      <c r="E32" s="24">
        <f>E31/D31-1</f>
        <v>-125.86491841814269</v>
      </c>
      <c r="F32" s="24">
        <f t="shared" ref="F32:J32" si="28">F26/E26-1</f>
        <v>0.36812349486148777</v>
      </c>
      <c r="G32" s="24">
        <f t="shared" si="28"/>
        <v>-0.72460903216492767</v>
      </c>
      <c r="H32" s="24">
        <f t="shared" si="28"/>
        <v>-1.8139951868089972</v>
      </c>
      <c r="I32" s="24">
        <f t="shared" si="28"/>
        <v>3.5543919734791132</v>
      </c>
      <c r="J32" s="24">
        <f t="shared" si="28"/>
        <v>0.54577211317213492</v>
      </c>
      <c r="K32" s="30">
        <v>0</v>
      </c>
      <c r="L32" s="88"/>
      <c r="M32" s="1" t="s">
        <v>18</v>
      </c>
      <c r="N32" s="94">
        <v>14.759</v>
      </c>
      <c r="O32" s="94">
        <v>6.3659999999999997</v>
      </c>
      <c r="P32" s="94">
        <v>63.984000000000002</v>
      </c>
      <c r="Q32" s="94">
        <v>40.960999999999999</v>
      </c>
      <c r="R32" s="94">
        <v>26.704000000000001</v>
      </c>
      <c r="S32" s="94">
        <v>48.577999999999996</v>
      </c>
      <c r="T32" s="94">
        <v>3.3250000000000002</v>
      </c>
      <c r="U32" s="6">
        <v>86.906000000000006</v>
      </c>
      <c r="V32" s="6">
        <v>82.617999999999995</v>
      </c>
      <c r="W32" s="6">
        <v>78.215999999999994</v>
      </c>
    </row>
    <row r="33" spans="1:24" ht="15" customHeight="1" x14ac:dyDescent="0.3">
      <c r="A33" s="23" t="s">
        <v>42</v>
      </c>
      <c r="B33" s="25"/>
      <c r="C33" s="25"/>
      <c r="D33" s="25"/>
      <c r="E33" s="24">
        <f>((E26/B26)^(1/3)-1)</f>
        <v>-4.2134161838781266</v>
      </c>
      <c r="F33" s="24">
        <f>((F26/C26)^(1/3)-1)</f>
        <v>-3.9233417024147839</v>
      </c>
      <c r="G33" s="24">
        <f>((G26/D26)^(1/3)-1)</f>
        <v>-5.0699865356540244</v>
      </c>
      <c r="H33" s="24">
        <f>((H30/E30)^(1/3)-1)*-1</f>
        <v>1.6743710891513559</v>
      </c>
      <c r="I33" s="24">
        <f>((I30/F30)^(1/3)-1)*-1</f>
        <v>2.0069331640405079</v>
      </c>
      <c r="J33" s="24">
        <f>((J30/G30)^(1/3)-1)*-1</f>
        <v>2.7895035740820773</v>
      </c>
      <c r="K33" s="30">
        <v>0</v>
      </c>
      <c r="L33" s="83"/>
      <c r="M33" s="1" t="s">
        <v>152</v>
      </c>
      <c r="N33" s="94">
        <v>5.6420000000000003</v>
      </c>
      <c r="O33" s="94">
        <v>43.637999999999998</v>
      </c>
      <c r="P33" s="94">
        <v>18.663999999999998</v>
      </c>
      <c r="Q33" s="94">
        <v>12.95</v>
      </c>
      <c r="R33" s="94">
        <v>7.9249999999999998</v>
      </c>
      <c r="S33" s="94">
        <v>11.111000000000001</v>
      </c>
      <c r="T33" s="94">
        <v>9.641</v>
      </c>
      <c r="U33" s="94">
        <v>8.6509999999999998</v>
      </c>
      <c r="V33" s="94">
        <v>11.06</v>
      </c>
      <c r="W33" s="94">
        <v>11.502000000000001</v>
      </c>
    </row>
    <row r="34" spans="1:24" ht="15" customHeight="1" x14ac:dyDescent="0.3">
      <c r="A34" t="s">
        <v>54</v>
      </c>
      <c r="B34" s="5"/>
      <c r="C34" s="94">
        <v>-8.199999999999999E-3</v>
      </c>
      <c r="D34" s="94">
        <v>-0.1143</v>
      </c>
      <c r="E34" s="94">
        <v>4.0099999999999997E-2</v>
      </c>
      <c r="F34" s="94">
        <v>9.6000000000000009E-3</v>
      </c>
      <c r="G34" s="94">
        <v>-0.2056</v>
      </c>
      <c r="H34" s="94">
        <v>-1.8519999999999999</v>
      </c>
      <c r="I34" s="94">
        <v>18.916</v>
      </c>
      <c r="J34" s="94">
        <v>-3.1819999999999999</v>
      </c>
      <c r="K34" s="94">
        <v>0</v>
      </c>
      <c r="L34" s="83"/>
      <c r="M34" t="s">
        <v>19</v>
      </c>
      <c r="N34" s="94">
        <v>64.524000000000001</v>
      </c>
      <c r="O34" s="94">
        <v>285.209</v>
      </c>
      <c r="P34" s="94">
        <v>357.93899999999996</v>
      </c>
      <c r="Q34" s="94">
        <v>384.45100000000002</v>
      </c>
      <c r="R34" s="94">
        <v>427.14300000000003</v>
      </c>
      <c r="S34" s="94">
        <v>606.21800000000007</v>
      </c>
      <c r="T34" s="94">
        <v>909.48700000000008</v>
      </c>
      <c r="U34" s="94">
        <v>1069.4169999999999</v>
      </c>
      <c r="V34" s="94">
        <v>1456.076</v>
      </c>
      <c r="W34" s="94">
        <v>1706.0840000000001</v>
      </c>
    </row>
    <row r="35" spans="1:24" ht="15" customHeight="1" x14ac:dyDescent="0.3">
      <c r="A35" s="2" t="s">
        <v>60</v>
      </c>
      <c r="B35" s="7">
        <f>B26+B34</f>
        <v>13.427721999999978</v>
      </c>
      <c r="C35" s="7">
        <f t="shared" ref="C35:F35" si="29">C30+C34</f>
        <v>24.391800000000028</v>
      </c>
      <c r="D35" s="7">
        <f t="shared" si="29"/>
        <v>2.3757000000001014</v>
      </c>
      <c r="E35" s="7">
        <f t="shared" si="29"/>
        <v>-445.51690000000025</v>
      </c>
      <c r="F35" s="7">
        <f t="shared" si="29"/>
        <v>-609.56740000000025</v>
      </c>
      <c r="G35" s="7">
        <f>G30+G34</f>
        <v>-168.07759999999996</v>
      </c>
      <c r="H35" s="7">
        <f>H30+H34</f>
        <v>134.79499999999993</v>
      </c>
      <c r="I35" s="7">
        <f>I30+I34</f>
        <v>641.2600000000001</v>
      </c>
      <c r="J35" s="7">
        <f>J30+J34</f>
        <v>958.81999999999925</v>
      </c>
      <c r="K35" s="7">
        <f>K30+K34</f>
        <v>517.90799999999979</v>
      </c>
      <c r="M35" s="36" t="s">
        <v>14</v>
      </c>
      <c r="N35" s="18">
        <f t="shared" ref="N35:R35" si="30">SUM(N28:N34)</f>
        <v>1301.9090000000001</v>
      </c>
      <c r="O35" s="18">
        <f t="shared" si="30"/>
        <v>959.49600000000009</v>
      </c>
      <c r="P35" s="18">
        <f t="shared" si="30"/>
        <v>1600.4009999999998</v>
      </c>
      <c r="Q35" s="18">
        <f t="shared" si="30"/>
        <v>1692.0730000000001</v>
      </c>
      <c r="R35" s="18">
        <f t="shared" si="30"/>
        <v>1539.8839999999998</v>
      </c>
      <c r="S35" s="18">
        <f>SUM(S28:S34)</f>
        <v>1680.8160000000003</v>
      </c>
      <c r="T35" s="18">
        <f>SUM(T28:T34)</f>
        <v>2154.6630000000005</v>
      </c>
      <c r="U35" s="18">
        <f>SUM(U28:U34)</f>
        <v>2742.7260000000001</v>
      </c>
      <c r="V35" s="18">
        <f>SUM(V28:V34)</f>
        <v>3327.7280000000001</v>
      </c>
      <c r="W35" s="18">
        <f>SUM(W28:W34)</f>
        <v>3706.6369999999997</v>
      </c>
    </row>
    <row r="36" spans="1:24" ht="15" customHeight="1" x14ac:dyDescent="0.3">
      <c r="A36" s="23" t="s">
        <v>41</v>
      </c>
      <c r="B36" s="24"/>
      <c r="C36" s="24">
        <f t="shared" ref="C36:E36" si="31">C35/B35-1</f>
        <v>0.81652554320085491</v>
      </c>
      <c r="D36" s="24">
        <f t="shared" si="31"/>
        <v>-0.90260251395960533</v>
      </c>
      <c r="E36" s="24">
        <f t="shared" si="31"/>
        <v>-188.53079092477216</v>
      </c>
      <c r="F36" s="24">
        <f t="shared" ref="F36:J36" si="32">F35/E35-1</f>
        <v>0.36822508865544701</v>
      </c>
      <c r="G36" s="24">
        <f t="shared" si="32"/>
        <v>-0.72426740668874368</v>
      </c>
      <c r="H36" s="24">
        <f t="shared" si="32"/>
        <v>-1.801980751748002</v>
      </c>
      <c r="I36" s="24">
        <f t="shared" si="32"/>
        <v>3.7572981193664488</v>
      </c>
      <c r="J36" s="24">
        <f t="shared" si="32"/>
        <v>0.49521255029161204</v>
      </c>
      <c r="K36" s="30">
        <v>0</v>
      </c>
      <c r="N36" s="5"/>
      <c r="O36" s="5"/>
      <c r="P36" s="5"/>
      <c r="Q36" s="5"/>
      <c r="R36" s="5"/>
      <c r="S36" s="5"/>
      <c r="T36" s="5"/>
    </row>
    <row r="37" spans="1:24" ht="15" customHeight="1" x14ac:dyDescent="0.3">
      <c r="A37" s="23" t="s">
        <v>42</v>
      </c>
      <c r="B37" s="25"/>
      <c r="C37" s="25"/>
      <c r="D37" s="25"/>
      <c r="E37" s="24">
        <f>((E35/B35)^(1/3)-1)</f>
        <v>-4.2133197788129362</v>
      </c>
      <c r="F37" s="24">
        <f>((F35/C35)^(1/3)-1)</f>
        <v>-3.9236539059674347</v>
      </c>
      <c r="G37" s="24">
        <f>((G35/D35)^(1/3)-1)</f>
        <v>-5.1359258766498161</v>
      </c>
      <c r="H37" s="24">
        <f>((H35/E35)^(1/3)-1)*-1</f>
        <v>1.6713307392663812</v>
      </c>
      <c r="I37" s="24">
        <f>((I35/F35)^(1/3)-1)*-1</f>
        <v>2.0170386855356179</v>
      </c>
      <c r="J37" s="24">
        <f>((J35/G35)^(1/3)-1)*-1</f>
        <v>2.7867991975737856</v>
      </c>
      <c r="K37" s="30">
        <v>0</v>
      </c>
      <c r="M37" s="16" t="s">
        <v>106</v>
      </c>
      <c r="N37" s="17"/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</row>
    <row r="38" spans="1:24" ht="15" customHeight="1" x14ac:dyDescent="0.3">
      <c r="A38" t="s">
        <v>55</v>
      </c>
      <c r="B38" s="5"/>
      <c r="C38" s="5"/>
      <c r="D38" s="5"/>
      <c r="E38" s="5"/>
      <c r="F38" s="5"/>
      <c r="G38" s="5"/>
      <c r="L38" s="83"/>
      <c r="N38" s="5"/>
      <c r="O38" s="5"/>
      <c r="P38" s="5"/>
      <c r="Q38" s="5"/>
      <c r="R38" s="5"/>
      <c r="S38" s="5"/>
      <c r="T38" s="5"/>
    </row>
    <row r="39" spans="1:24" ht="15" customHeight="1" x14ac:dyDescent="0.3">
      <c r="A39" s="1" t="s">
        <v>61</v>
      </c>
      <c r="B39" s="5">
        <v>0.46</v>
      </c>
      <c r="C39" s="5">
        <v>0.54</v>
      </c>
      <c r="D39" s="5">
        <v>0.06</v>
      </c>
      <c r="E39" s="5">
        <v>-9.91</v>
      </c>
      <c r="F39" s="5">
        <v>-13.56</v>
      </c>
      <c r="G39" s="39">
        <v>-3.73</v>
      </c>
      <c r="H39" s="5">
        <v>2.17</v>
      </c>
      <c r="I39" s="5">
        <v>9.68</v>
      </c>
      <c r="J39" s="5">
        <v>14.15</v>
      </c>
      <c r="K39" s="5">
        <v>7.59</v>
      </c>
      <c r="L39" s="83"/>
      <c r="M39" s="3" t="s">
        <v>20</v>
      </c>
      <c r="N39" s="5"/>
      <c r="O39" s="5"/>
      <c r="P39" s="5"/>
      <c r="Q39" s="5"/>
      <c r="R39" s="5"/>
      <c r="S39" s="5"/>
      <c r="T39" s="5"/>
    </row>
    <row r="40" spans="1:24" ht="15" customHeight="1" x14ac:dyDescent="0.3">
      <c r="A40" s="1" t="s">
        <v>62</v>
      </c>
      <c r="B40" s="5">
        <v>0.46</v>
      </c>
      <c r="C40" s="5">
        <v>0.54</v>
      </c>
      <c r="D40" s="5">
        <v>0.06</v>
      </c>
      <c r="E40" s="5">
        <v>-9.91</v>
      </c>
      <c r="F40" s="5">
        <v>-13.56</v>
      </c>
      <c r="G40" s="39">
        <v>-3.73</v>
      </c>
      <c r="H40" s="5">
        <v>2.17</v>
      </c>
      <c r="I40" s="5">
        <v>9.68</v>
      </c>
      <c r="J40" s="5">
        <v>14.15</v>
      </c>
      <c r="K40" s="5">
        <v>7.59</v>
      </c>
      <c r="M40" t="s">
        <v>21</v>
      </c>
      <c r="N40" s="94">
        <v>118.598</v>
      </c>
      <c r="O40" s="94">
        <v>195.78800000000001</v>
      </c>
      <c r="P40" s="94">
        <v>374.33100000000002</v>
      </c>
      <c r="Q40" s="94">
        <v>317.62299999999999</v>
      </c>
      <c r="R40" s="94">
        <v>108.078</v>
      </c>
      <c r="S40" s="94">
        <v>109.68899999999999</v>
      </c>
      <c r="T40" s="94">
        <f>(24.46+3104.33)/10</f>
        <v>312.87900000000002</v>
      </c>
      <c r="U40">
        <f>1.343+176.872</f>
        <v>178.215</v>
      </c>
      <c r="V40">
        <f>0.68+58.172</f>
        <v>58.851999999999997</v>
      </c>
      <c r="W40">
        <v>106.599</v>
      </c>
    </row>
    <row r="41" spans="1:24" ht="15" customHeight="1" x14ac:dyDescent="0.3">
      <c r="A41" s="23" t="s">
        <v>41</v>
      </c>
      <c r="B41" s="24"/>
      <c r="C41" s="24"/>
      <c r="D41" s="24">
        <f t="shared" ref="D41:E41" si="33">D40/C40-1</f>
        <v>-0.88888888888888884</v>
      </c>
      <c r="E41" s="24">
        <f t="shared" si="33"/>
        <v>-166.16666666666669</v>
      </c>
      <c r="F41" s="24">
        <f t="shared" ref="F41:J41" si="34">F40/E40-1</f>
        <v>0.36831483350151362</v>
      </c>
      <c r="G41" s="24">
        <f t="shared" si="34"/>
        <v>-0.72492625368731567</v>
      </c>
      <c r="H41" s="24">
        <f t="shared" si="34"/>
        <v>-1.581769436997319</v>
      </c>
      <c r="I41" s="24">
        <f t="shared" si="34"/>
        <v>3.4608294930875578</v>
      </c>
      <c r="J41" s="24">
        <f t="shared" si="34"/>
        <v>0.46177685950413228</v>
      </c>
      <c r="K41" s="30">
        <v>0</v>
      </c>
      <c r="M41" t="s">
        <v>33</v>
      </c>
      <c r="N41" s="94">
        <v>285.73599999999999</v>
      </c>
      <c r="O41" s="94">
        <v>324.53800000000001</v>
      </c>
      <c r="P41" s="94">
        <v>504.3</v>
      </c>
      <c r="Q41" s="94">
        <v>1475.6510000000001</v>
      </c>
      <c r="R41" s="94">
        <v>2741.038</v>
      </c>
      <c r="S41" s="94">
        <v>48.155999999999999</v>
      </c>
      <c r="T41" s="94">
        <v>1.77</v>
      </c>
      <c r="U41" s="94">
        <v>1.02</v>
      </c>
      <c r="V41" s="94">
        <v>1.153</v>
      </c>
      <c r="W41" s="94">
        <v>34.167000000000002</v>
      </c>
    </row>
    <row r="42" spans="1:24" ht="15" customHeight="1" x14ac:dyDescent="0.3">
      <c r="A42" s="23" t="s">
        <v>42</v>
      </c>
      <c r="B42" s="25"/>
      <c r="C42" s="25"/>
      <c r="D42" s="25"/>
      <c r="E42" s="24">
        <f>((E40/B40)^(1/3)-1)</f>
        <v>-3.7825220053381989</v>
      </c>
      <c r="F42" s="24">
        <f>((F40/C40)^(1/3)-1)</f>
        <v>-3.9283432145454418</v>
      </c>
      <c r="G42" s="24">
        <f>((G40/D40)^(1/3)-1)</f>
        <v>-4.9614349344105051</v>
      </c>
      <c r="H42" s="24">
        <f>((H40/E40)^(1/3)-1)*-1</f>
        <v>1.6027381671236502</v>
      </c>
      <c r="I42" s="24">
        <f>((I40/F40)^(1/3)-1)*-1</f>
        <v>1.8937277082755299</v>
      </c>
      <c r="J42" s="24">
        <f>((J40/G40)^(1/3)-1)*-1</f>
        <v>2.5596094907431324</v>
      </c>
      <c r="K42" s="30">
        <v>0</v>
      </c>
      <c r="M42" t="s">
        <v>34</v>
      </c>
      <c r="N42" s="94">
        <v>115.45099999999999</v>
      </c>
      <c r="O42" s="94">
        <v>56.584000000000003</v>
      </c>
      <c r="P42" s="94">
        <v>109.54300000000001</v>
      </c>
      <c r="Q42" s="94">
        <v>145.96099999999998</v>
      </c>
      <c r="R42" s="94">
        <v>171.864</v>
      </c>
      <c r="S42" s="94">
        <v>205.59399999999999</v>
      </c>
      <c r="T42" s="94">
        <v>154.86199999999999</v>
      </c>
      <c r="U42" s="94">
        <v>144.36699999999999</v>
      </c>
      <c r="V42" s="94">
        <v>99.156000000000006</v>
      </c>
      <c r="W42" s="94">
        <v>173.952</v>
      </c>
    </row>
    <row r="43" spans="1:24" ht="15" customHeight="1" x14ac:dyDescent="0.3">
      <c r="M43" t="s">
        <v>32</v>
      </c>
      <c r="N43" s="94">
        <v>1.409</v>
      </c>
      <c r="O43" s="94">
        <v>2.399</v>
      </c>
      <c r="P43" s="94">
        <v>3.8079999999999998</v>
      </c>
      <c r="Q43" s="94">
        <v>2.4079999999999999</v>
      </c>
      <c r="R43" s="94">
        <v>3.1670000000000003</v>
      </c>
      <c r="S43" s="94">
        <v>3.2189999999999999</v>
      </c>
      <c r="T43" s="94">
        <v>5.0270000000000001</v>
      </c>
      <c r="U43" s="94">
        <v>4.6539999999999999</v>
      </c>
      <c r="V43" s="94">
        <v>6.8289999999999997</v>
      </c>
      <c r="W43" s="94">
        <v>6.8289999999999997</v>
      </c>
    </row>
    <row r="44" spans="1:24" ht="15" customHeight="1" x14ac:dyDescent="0.3">
      <c r="A44" s="19" t="s">
        <v>64</v>
      </c>
      <c r="B44" s="20" t="s">
        <v>38</v>
      </c>
      <c r="C44" s="20" t="s">
        <v>39</v>
      </c>
      <c r="D44" s="20" t="s">
        <v>37</v>
      </c>
      <c r="E44" s="20" t="s">
        <v>1</v>
      </c>
      <c r="F44" s="20" t="s">
        <v>2</v>
      </c>
      <c r="G44" s="20" t="s">
        <v>56</v>
      </c>
      <c r="H44" s="20" t="s">
        <v>157</v>
      </c>
      <c r="I44" s="20" t="s">
        <v>175</v>
      </c>
      <c r="J44" s="20" t="s">
        <v>178</v>
      </c>
      <c r="K44" s="20" t="s">
        <v>183</v>
      </c>
      <c r="M44" t="s">
        <v>22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">
        <v>0</v>
      </c>
      <c r="U44" s="94">
        <v>0</v>
      </c>
      <c r="V44" s="94">
        <v>0</v>
      </c>
      <c r="W44" s="94">
        <v>0</v>
      </c>
    </row>
    <row r="45" spans="1:24" ht="15" customHeight="1" x14ac:dyDescent="0.3">
      <c r="A45" t="s">
        <v>65</v>
      </c>
      <c r="B45" s="93">
        <v>18.111818</v>
      </c>
      <c r="C45" s="94">
        <v>718.69200000000001</v>
      </c>
      <c r="D45" s="94">
        <f>(C50)</f>
        <v>24.230000000000473</v>
      </c>
      <c r="E45" s="94">
        <f t="shared" ref="E45:I45" si="35">(D50)</f>
        <v>256.9790000000005</v>
      </c>
      <c r="F45" s="94">
        <f t="shared" si="35"/>
        <v>44.364000000000487</v>
      </c>
      <c r="G45" s="94">
        <f t="shared" si="35"/>
        <v>34.447000000000571</v>
      </c>
      <c r="H45" s="94">
        <f t="shared" si="35"/>
        <v>53.505000000000564</v>
      </c>
      <c r="I45" s="94">
        <f t="shared" si="35"/>
        <v>32.052000000000561</v>
      </c>
      <c r="J45" s="94">
        <v>87.29</v>
      </c>
      <c r="K45" s="94">
        <f>J50</f>
        <v>83.182000000000059</v>
      </c>
      <c r="M45" s="16" t="s">
        <v>20</v>
      </c>
      <c r="N45" s="18">
        <f t="shared" ref="N45:W45" si="36">SUM(N40:N44)</f>
        <v>521.19399999999996</v>
      </c>
      <c r="O45" s="18">
        <f t="shared" si="36"/>
        <v>579.30900000000008</v>
      </c>
      <c r="P45" s="18">
        <f t="shared" si="36"/>
        <v>991.98200000000008</v>
      </c>
      <c r="Q45" s="18">
        <f t="shared" si="36"/>
        <v>1941.643</v>
      </c>
      <c r="R45" s="18">
        <f t="shared" si="36"/>
        <v>3024.1469999999999</v>
      </c>
      <c r="S45" s="18">
        <f t="shared" si="36"/>
        <v>366.65799999999996</v>
      </c>
      <c r="T45" s="18">
        <f t="shared" si="36"/>
        <v>474.53799999999995</v>
      </c>
      <c r="U45" s="18">
        <f t="shared" si="36"/>
        <v>328.25599999999997</v>
      </c>
      <c r="V45" s="18">
        <f t="shared" si="36"/>
        <v>165.99</v>
      </c>
      <c r="W45" s="18">
        <f t="shared" si="36"/>
        <v>321.54700000000003</v>
      </c>
    </row>
    <row r="46" spans="1:24" ht="15" customHeight="1" x14ac:dyDescent="0.3">
      <c r="A46" s="1" t="s">
        <v>66</v>
      </c>
      <c r="B46" s="93">
        <v>361.27176900000001</v>
      </c>
      <c r="C46" s="94">
        <v>170.10999999999999</v>
      </c>
      <c r="D46" s="94">
        <v>318.613</v>
      </c>
      <c r="E46" s="94">
        <v>827.71699999999998</v>
      </c>
      <c r="F46" s="94">
        <v>1509.0340000000001</v>
      </c>
      <c r="G46" s="94">
        <v>-2441.915</v>
      </c>
      <c r="H46" s="94">
        <v>236.54899999999998</v>
      </c>
      <c r="I46" s="94">
        <v>832.08199999999999</v>
      </c>
      <c r="J46" s="94">
        <v>852.24800000000005</v>
      </c>
      <c r="K46" s="94">
        <v>426.44</v>
      </c>
      <c r="M46" s="16" t="s">
        <v>23</v>
      </c>
      <c r="N46" s="17">
        <f t="shared" ref="N46:U46" si="37">N35-N45</f>
        <v>780.71500000000015</v>
      </c>
      <c r="O46" s="17">
        <f t="shared" si="37"/>
        <v>380.18700000000001</v>
      </c>
      <c r="P46" s="17">
        <f t="shared" si="37"/>
        <v>608.41899999999976</v>
      </c>
      <c r="Q46" s="17">
        <f t="shared" si="37"/>
        <v>-249.56999999999994</v>
      </c>
      <c r="R46" s="17">
        <f t="shared" si="37"/>
        <v>-1484.2630000000001</v>
      </c>
      <c r="S46" s="17">
        <f t="shared" si="37"/>
        <v>1314.1580000000004</v>
      </c>
      <c r="T46" s="17">
        <f t="shared" si="37"/>
        <v>1680.1250000000005</v>
      </c>
      <c r="U46" s="17">
        <f t="shared" si="37"/>
        <v>2414.4700000000003</v>
      </c>
      <c r="V46" s="17">
        <f>V35-V45</f>
        <v>3161.7380000000003</v>
      </c>
      <c r="W46" s="17">
        <f>W35-W45</f>
        <v>3385.0899999999997</v>
      </c>
    </row>
    <row r="47" spans="1:24" ht="15" customHeight="1" x14ac:dyDescent="0.3">
      <c r="A47" s="1" t="s">
        <v>67</v>
      </c>
      <c r="B47" s="93">
        <v>-1930.8120570000001</v>
      </c>
      <c r="C47" s="94">
        <v>-2587.8869999999997</v>
      </c>
      <c r="D47" s="94">
        <v>-984.154</v>
      </c>
      <c r="E47" s="94">
        <v>-143.38</v>
      </c>
      <c r="F47" s="94">
        <v>-2.4980000000000002</v>
      </c>
      <c r="G47" s="94">
        <v>-13.451000000000001</v>
      </c>
      <c r="H47" s="94">
        <v>-4.1230000000000002</v>
      </c>
      <c r="I47" s="94">
        <v>-134.69300000000001</v>
      </c>
      <c r="J47" s="94">
        <v>-249.98699999999999</v>
      </c>
      <c r="K47" s="94">
        <v>-329.74400000000003</v>
      </c>
      <c r="N47" s="5"/>
      <c r="O47" s="5"/>
      <c r="P47" s="5"/>
      <c r="Q47" s="5"/>
      <c r="R47" s="5"/>
      <c r="S47" s="5"/>
      <c r="T47" s="5"/>
    </row>
    <row r="48" spans="1:24" ht="15" customHeight="1" x14ac:dyDescent="0.3">
      <c r="A48" s="1" t="s">
        <v>68</v>
      </c>
      <c r="B48" s="93">
        <v>2271.4053159999999</v>
      </c>
      <c r="C48" s="94">
        <v>1723.3150000000001</v>
      </c>
      <c r="D48" s="94">
        <v>898.29</v>
      </c>
      <c r="E48" s="94">
        <v>-896.952</v>
      </c>
      <c r="F48" s="94">
        <v>-1516.453</v>
      </c>
      <c r="G48" s="94">
        <v>2474.424</v>
      </c>
      <c r="H48" s="94">
        <v>-253.87899999999999</v>
      </c>
      <c r="I48" s="94">
        <v>-642.15300000000002</v>
      </c>
      <c r="J48" s="94">
        <v>-606.36900000000003</v>
      </c>
      <c r="K48" s="94">
        <v>-101</v>
      </c>
      <c r="M48" t="s">
        <v>155</v>
      </c>
      <c r="N48" s="94">
        <v>36.503</v>
      </c>
      <c r="O48" s="94">
        <v>41.275999999999996</v>
      </c>
      <c r="P48" s="94">
        <v>41.397000000000006</v>
      </c>
      <c r="Q48" s="94">
        <v>0</v>
      </c>
      <c r="R48" s="94">
        <v>0</v>
      </c>
      <c r="S48" s="94">
        <v>0</v>
      </c>
      <c r="T48" s="5">
        <v>0</v>
      </c>
      <c r="U48" s="94">
        <v>0</v>
      </c>
      <c r="V48" s="94">
        <v>0</v>
      </c>
      <c r="W48" s="94">
        <v>0</v>
      </c>
      <c r="X48" s="5"/>
    </row>
    <row r="49" spans="1:24" ht="15" customHeight="1" x14ac:dyDescent="0.3">
      <c r="A49" s="26" t="s">
        <v>69</v>
      </c>
      <c r="B49" s="136">
        <f t="shared" ref="B49" si="38">SUM(B46:B48)</f>
        <v>701.86502799999971</v>
      </c>
      <c r="C49" s="27">
        <f>SUM(C46:C48)</f>
        <v>-694.46199999999953</v>
      </c>
      <c r="D49" s="27">
        <f t="shared" ref="D49" si="39">SUM(D46:D48)</f>
        <v>232.74900000000002</v>
      </c>
      <c r="E49" s="27">
        <f t="shared" ref="E49" si="40">SUM(E46:E48)</f>
        <v>-212.61500000000001</v>
      </c>
      <c r="F49" s="27">
        <f t="shared" ref="F49" si="41">SUM(F46:F48)</f>
        <v>-9.9169999999999163</v>
      </c>
      <c r="G49" s="27">
        <f t="shared" ref="G49:I49" si="42">SUM(G46:G48)</f>
        <v>19.057999999999993</v>
      </c>
      <c r="H49" s="27">
        <f t="shared" si="42"/>
        <v>-21.453000000000003</v>
      </c>
      <c r="I49" s="27">
        <f t="shared" si="42"/>
        <v>55.23599999999999</v>
      </c>
      <c r="J49" s="27">
        <f>SUM(J46:J48)</f>
        <v>-4.1079999999999472</v>
      </c>
      <c r="K49" s="27">
        <f>SUM(K46:K48)</f>
        <v>-4.3040000000000305</v>
      </c>
      <c r="M49" t="s">
        <v>27</v>
      </c>
      <c r="N49" s="94">
        <v>256.31700000000001</v>
      </c>
      <c r="O49" s="94">
        <v>252.5</v>
      </c>
      <c r="P49" s="94">
        <v>32.5</v>
      </c>
      <c r="Q49" s="94">
        <v>32.5</v>
      </c>
      <c r="R49" s="94">
        <v>32.5</v>
      </c>
      <c r="S49" s="94">
        <v>32.5</v>
      </c>
      <c r="T49" s="94">
        <v>32.5</v>
      </c>
      <c r="U49" s="94">
        <v>36.863</v>
      </c>
      <c r="V49" s="94">
        <v>37.256</v>
      </c>
      <c r="W49" s="94">
        <v>32.549999999999997</v>
      </c>
    </row>
    <row r="50" spans="1:24" ht="15" customHeight="1" x14ac:dyDescent="0.3">
      <c r="A50" s="16" t="s">
        <v>70</v>
      </c>
      <c r="B50" s="17">
        <f t="shared" ref="B50:F50" si="43">B45+B49</f>
        <v>719.97684599999968</v>
      </c>
      <c r="C50" s="17">
        <f t="shared" si="43"/>
        <v>24.230000000000473</v>
      </c>
      <c r="D50" s="17">
        <f t="shared" si="43"/>
        <v>256.9790000000005</v>
      </c>
      <c r="E50" s="17">
        <f t="shared" si="43"/>
        <v>44.364000000000487</v>
      </c>
      <c r="F50" s="17">
        <f t="shared" si="43"/>
        <v>34.447000000000571</v>
      </c>
      <c r="G50" s="17">
        <f>G45+G49</f>
        <v>53.505000000000564</v>
      </c>
      <c r="H50" s="17">
        <f>H45+H49</f>
        <v>32.052000000000561</v>
      </c>
      <c r="I50" s="17">
        <f>I45+I49</f>
        <v>87.288000000000551</v>
      </c>
      <c r="J50" s="17">
        <f>J45+J49</f>
        <v>83.182000000000059</v>
      </c>
      <c r="K50" s="17">
        <f>K45+K49</f>
        <v>78.878000000000029</v>
      </c>
      <c r="M50" s="1" t="s">
        <v>150</v>
      </c>
      <c r="N50" s="94">
        <v>8.4269999999999996</v>
      </c>
      <c r="O50" s="94">
        <v>11.016999999999999</v>
      </c>
      <c r="P50" s="94">
        <v>14.331999999999999</v>
      </c>
      <c r="Q50" s="94">
        <v>17.368000000000002</v>
      </c>
      <c r="R50" s="94">
        <v>17.215</v>
      </c>
      <c r="S50" s="94">
        <v>20.945</v>
      </c>
      <c r="T50" s="94">
        <v>25.055</v>
      </c>
      <c r="U50" s="94">
        <v>28.097999999999999</v>
      </c>
      <c r="V50" s="94">
        <v>38.305</v>
      </c>
      <c r="W50">
        <v>37.229999999999997</v>
      </c>
    </row>
    <row r="51" spans="1:24" ht="15" customHeight="1" x14ac:dyDescent="0.3">
      <c r="N51" s="7">
        <f t="shared" ref="N51:P51" si="44">SUM(N48:N50)</f>
        <v>301.24700000000001</v>
      </c>
      <c r="O51" s="7">
        <f t="shared" si="44"/>
        <v>304.79300000000001</v>
      </c>
      <c r="P51" s="7">
        <f t="shared" si="44"/>
        <v>88.228999999999999</v>
      </c>
      <c r="Q51" s="7">
        <f t="shared" ref="Q51:U51" si="45">SUM(Q48:Q50)</f>
        <v>49.868000000000002</v>
      </c>
      <c r="R51" s="7">
        <f t="shared" si="45"/>
        <v>49.715000000000003</v>
      </c>
      <c r="S51" s="7">
        <f t="shared" si="45"/>
        <v>53.445</v>
      </c>
      <c r="T51" s="7">
        <f t="shared" si="45"/>
        <v>57.555</v>
      </c>
      <c r="U51" s="7">
        <f t="shared" si="45"/>
        <v>64.960999999999999</v>
      </c>
      <c r="V51" s="7">
        <f>SUM(V48:V50)</f>
        <v>75.561000000000007</v>
      </c>
      <c r="W51" s="7">
        <f>SUM(W48:W50)</f>
        <v>69.78</v>
      </c>
    </row>
    <row r="52" spans="1:24" ht="15" customHeight="1" x14ac:dyDescent="0.3">
      <c r="A52" s="19" t="s">
        <v>71</v>
      </c>
      <c r="B52" s="20" t="s">
        <v>38</v>
      </c>
      <c r="C52" s="20" t="s">
        <v>39</v>
      </c>
      <c r="D52" s="20" t="s">
        <v>37</v>
      </c>
      <c r="E52" s="20" t="s">
        <v>1</v>
      </c>
      <c r="F52" s="20" t="s">
        <v>2</v>
      </c>
      <c r="G52" s="20" t="s">
        <v>56</v>
      </c>
      <c r="H52" s="20" t="s">
        <v>157</v>
      </c>
      <c r="I52" s="20" t="s">
        <v>175</v>
      </c>
      <c r="J52" s="20" t="s">
        <v>178</v>
      </c>
      <c r="K52" s="20" t="s">
        <v>183</v>
      </c>
      <c r="N52" s="8"/>
      <c r="O52" s="8"/>
      <c r="P52" s="8"/>
      <c r="Q52" s="8"/>
      <c r="R52" s="8"/>
      <c r="S52" s="8"/>
      <c r="T52" s="8"/>
    </row>
    <row r="53" spans="1:24" ht="15" customHeight="1" x14ac:dyDescent="0.3">
      <c r="A53" t="s">
        <v>72</v>
      </c>
      <c r="B53" s="5">
        <f t="shared" ref="B53:F53" si="46">B46</f>
        <v>361.27176900000001</v>
      </c>
      <c r="C53" s="5">
        <f t="shared" si="46"/>
        <v>170.10999999999999</v>
      </c>
      <c r="D53" s="5">
        <f t="shared" si="46"/>
        <v>318.613</v>
      </c>
      <c r="E53" s="5">
        <f t="shared" si="46"/>
        <v>827.71699999999998</v>
      </c>
      <c r="F53" s="5">
        <f t="shared" si="46"/>
        <v>1509.0340000000001</v>
      </c>
      <c r="G53" s="5">
        <f>G46</f>
        <v>-2441.915</v>
      </c>
      <c r="H53" s="5">
        <f>H46</f>
        <v>236.54899999999998</v>
      </c>
      <c r="I53" s="5">
        <f>I46</f>
        <v>832.08199999999999</v>
      </c>
      <c r="J53" s="5">
        <f>J46</f>
        <v>852.24800000000005</v>
      </c>
      <c r="K53" s="5">
        <f>K46</f>
        <v>426.44</v>
      </c>
      <c r="M53" t="s">
        <v>105</v>
      </c>
      <c r="N53" s="8"/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</row>
    <row r="54" spans="1:24" ht="15" customHeight="1" x14ac:dyDescent="0.3">
      <c r="A54" s="21" t="s">
        <v>73</v>
      </c>
      <c r="B54" s="82"/>
      <c r="C54" s="22">
        <f>N16-O16</f>
        <v>-2750.4870000000001</v>
      </c>
      <c r="D54" s="22">
        <f t="shared" ref="D54:H54" si="47">O16-P16</f>
        <v>-2255.1919999999996</v>
      </c>
      <c r="E54" s="22">
        <f t="shared" si="47"/>
        <v>51.256999999999607</v>
      </c>
      <c r="F54" s="22">
        <f>Q16-R16</f>
        <v>217.05199999999968</v>
      </c>
      <c r="G54" s="22">
        <f t="shared" si="47"/>
        <v>259.43299999999999</v>
      </c>
      <c r="H54" s="22">
        <f t="shared" si="47"/>
        <v>211.61100000000079</v>
      </c>
      <c r="I54" s="22">
        <f>T16-U16</f>
        <v>105.75900000000001</v>
      </c>
      <c r="J54" s="22">
        <f>U16-V16</f>
        <v>58.966999999999643</v>
      </c>
      <c r="K54" s="22">
        <f>104.344-1.143</f>
        <v>103.20099999999999</v>
      </c>
      <c r="N54" s="5"/>
      <c r="O54" s="5"/>
      <c r="P54" s="5"/>
      <c r="Q54" s="5"/>
      <c r="R54" s="5"/>
      <c r="S54" s="5"/>
      <c r="T54" s="5"/>
      <c r="U54" s="5"/>
    </row>
    <row r="55" spans="1:24" ht="15" customHeight="1" x14ac:dyDescent="0.3">
      <c r="A55" s="16" t="s">
        <v>74</v>
      </c>
      <c r="B55" s="17">
        <f>SUM(B53:B54)</f>
        <v>361.27176900000001</v>
      </c>
      <c r="C55" s="17">
        <f t="shared" ref="C55:G55" si="48">SUM(C53:C54)</f>
        <v>-2580.377</v>
      </c>
      <c r="D55" s="17">
        <f t="shared" si="48"/>
        <v>-1936.5789999999995</v>
      </c>
      <c r="E55" s="17">
        <f t="shared" si="48"/>
        <v>878.97399999999959</v>
      </c>
      <c r="F55" s="17">
        <f t="shared" si="48"/>
        <v>1726.0859999999998</v>
      </c>
      <c r="G55" s="17">
        <f t="shared" si="48"/>
        <v>-2182.482</v>
      </c>
      <c r="H55" s="17">
        <f>SUM(H53:H54)</f>
        <v>448.16000000000076</v>
      </c>
      <c r="I55" s="17">
        <f>SUM(I53:I54)</f>
        <v>937.84100000000001</v>
      </c>
      <c r="J55" s="17">
        <f>SUM(J53:J54)</f>
        <v>911.21499999999969</v>
      </c>
      <c r="K55" s="17">
        <f>SUM(K53:K54)</f>
        <v>529.64099999999996</v>
      </c>
      <c r="M55" s="16" t="s">
        <v>25</v>
      </c>
      <c r="N55" s="17">
        <f>N5+N9+N45+N51</f>
        <v>4157.759</v>
      </c>
      <c r="O55" s="17">
        <f t="shared" ref="O55:V55" si="49">O5+O9+O45+O51+O53</f>
        <v>5992.4739999999993</v>
      </c>
      <c r="P55" s="17">
        <f t="shared" si="49"/>
        <v>7364.2979999999998</v>
      </c>
      <c r="Q55" s="17">
        <f t="shared" si="49"/>
        <v>7669.16</v>
      </c>
      <c r="R55" s="17">
        <f t="shared" si="49"/>
        <v>7523.2240000000002</v>
      </c>
      <c r="S55" s="17">
        <f t="shared" si="49"/>
        <v>7465.152</v>
      </c>
      <c r="T55" s="17">
        <f t="shared" si="49"/>
        <v>7737.6819999999989</v>
      </c>
      <c r="U55" s="17">
        <f t="shared" si="49"/>
        <v>7811.6690000000008</v>
      </c>
      <c r="V55" s="17">
        <f t="shared" si="49"/>
        <v>8170.1769999999997</v>
      </c>
      <c r="W55" s="17">
        <f t="shared" ref="W55" si="50">W5+W9+W45+W51+W53</f>
        <v>8640.3810000000012</v>
      </c>
    </row>
    <row r="56" spans="1:24" ht="15" customHeight="1" x14ac:dyDescent="0.3">
      <c r="M56" s="16" t="s">
        <v>24</v>
      </c>
      <c r="N56" s="17">
        <f>N25+N35</f>
        <v>4157.7610000000004</v>
      </c>
      <c r="O56" s="17">
        <f t="shared" ref="O56:V56" si="51">O25+O35+O37</f>
        <v>5992.4760000000006</v>
      </c>
      <c r="P56" s="17">
        <f t="shared" si="51"/>
        <v>7364.2939999999999</v>
      </c>
      <c r="Q56" s="17">
        <f t="shared" si="51"/>
        <v>7669.2050000000008</v>
      </c>
      <c r="R56" s="17">
        <f t="shared" si="51"/>
        <v>7523.2290000000003</v>
      </c>
      <c r="S56" s="17">
        <f t="shared" si="51"/>
        <v>7465.1540000000005</v>
      </c>
      <c r="T56" s="17">
        <f t="shared" si="51"/>
        <v>7737.6820000000007</v>
      </c>
      <c r="U56" s="17">
        <f t="shared" si="51"/>
        <v>7811.6680000000015</v>
      </c>
      <c r="V56" s="17">
        <f t="shared" si="51"/>
        <v>8170.1760000000004</v>
      </c>
      <c r="W56" s="17">
        <f t="shared" ref="W56" si="52">W25+W35+W37</f>
        <v>8640.3829999999998</v>
      </c>
    </row>
    <row r="57" spans="1:24" ht="15" customHeight="1" x14ac:dyDescent="0.3">
      <c r="A57" s="19" t="s">
        <v>71</v>
      </c>
      <c r="B57" s="20" t="s">
        <v>38</v>
      </c>
      <c r="C57" s="20" t="s">
        <v>39</v>
      </c>
      <c r="D57" s="20" t="s">
        <v>37</v>
      </c>
      <c r="E57" s="20" t="s">
        <v>1</v>
      </c>
      <c r="F57" s="20" t="s">
        <v>2</v>
      </c>
      <c r="G57" s="20" t="s">
        <v>56</v>
      </c>
      <c r="H57" s="20" t="s">
        <v>157</v>
      </c>
      <c r="I57" s="20" t="s">
        <v>175</v>
      </c>
      <c r="J57" s="20" t="s">
        <v>178</v>
      </c>
      <c r="K57" s="20" t="s">
        <v>185</v>
      </c>
      <c r="S57" s="5"/>
      <c r="T57" s="5"/>
    </row>
    <row r="58" spans="1:24" ht="15" customHeight="1" x14ac:dyDescent="0.3">
      <c r="A58" t="s">
        <v>116</v>
      </c>
      <c r="B58" s="5">
        <f t="shared" ref="B58" si="53">49603520/10^6</f>
        <v>49.603520000000003</v>
      </c>
      <c r="C58" s="82">
        <v>44.952247999999997</v>
      </c>
      <c r="D58" s="82">
        <v>44.952247999999997</v>
      </c>
      <c r="E58" s="82">
        <v>44.952247999999997</v>
      </c>
      <c r="F58" s="82">
        <v>44.952247999999997</v>
      </c>
      <c r="G58" s="82">
        <v>62.573202999999999</v>
      </c>
      <c r="H58" s="5">
        <v>63.24</v>
      </c>
      <c r="I58" s="5">
        <v>67.900000000000006</v>
      </c>
      <c r="J58" s="82">
        <f>68041973/10^6</f>
        <v>68.041972999999999</v>
      </c>
      <c r="K58" s="82">
        <f>68448880/1000000</f>
        <v>68.448880000000003</v>
      </c>
      <c r="M58" s="19" t="s">
        <v>71</v>
      </c>
      <c r="N58" s="20" t="s">
        <v>38</v>
      </c>
      <c r="O58" s="20" t="s">
        <v>39</v>
      </c>
      <c r="P58" s="20" t="s">
        <v>37</v>
      </c>
      <c r="Q58" s="20" t="s">
        <v>1</v>
      </c>
      <c r="R58" s="20" t="s">
        <v>2</v>
      </c>
      <c r="S58" s="20" t="s">
        <v>56</v>
      </c>
      <c r="T58" s="20" t="s">
        <v>157</v>
      </c>
      <c r="U58" s="20" t="s">
        <v>175</v>
      </c>
      <c r="V58" s="20" t="s">
        <v>178</v>
      </c>
      <c r="W58" s="20" t="s">
        <v>185</v>
      </c>
    </row>
    <row r="59" spans="1:24" ht="15" customHeight="1" x14ac:dyDescent="0.3">
      <c r="A59" t="s">
        <v>117</v>
      </c>
      <c r="B59" s="5">
        <v>1</v>
      </c>
      <c r="C59" s="82">
        <v>10</v>
      </c>
      <c r="D59" s="82">
        <v>10</v>
      </c>
      <c r="E59" s="82">
        <v>10</v>
      </c>
      <c r="F59" s="82">
        <v>10</v>
      </c>
      <c r="G59" s="82">
        <v>10</v>
      </c>
      <c r="H59" s="5">
        <v>10</v>
      </c>
      <c r="I59" s="5">
        <v>10</v>
      </c>
      <c r="J59" s="5">
        <v>10</v>
      </c>
      <c r="K59" s="5">
        <v>10</v>
      </c>
      <c r="M59" t="s">
        <v>80</v>
      </c>
      <c r="N59" s="5">
        <v>32.950000000000003</v>
      </c>
      <c r="O59" s="5">
        <v>43.45</v>
      </c>
      <c r="P59" s="5">
        <v>58.3</v>
      </c>
      <c r="Q59" s="5">
        <v>28.1</v>
      </c>
      <c r="R59" s="5">
        <v>10.8</v>
      </c>
      <c r="S59" s="5">
        <v>73.2</v>
      </c>
      <c r="T59" s="82">
        <v>68</v>
      </c>
      <c r="U59" s="82">
        <v>155.19999999999999</v>
      </c>
      <c r="V59" s="82">
        <v>275.2</v>
      </c>
      <c r="W59" s="82">
        <v>211.85</v>
      </c>
    </row>
    <row r="60" spans="1:24" ht="15" customHeight="1" x14ac:dyDescent="0.3">
      <c r="A60" s="21" t="s">
        <v>78</v>
      </c>
      <c r="B60" s="22">
        <f t="shared" ref="B60:J60" si="54">B58*N59</f>
        <v>1634.4359840000002</v>
      </c>
      <c r="C60" s="22">
        <f t="shared" si="54"/>
        <v>1953.1751756000001</v>
      </c>
      <c r="D60" s="22">
        <f t="shared" si="54"/>
        <v>2620.7160583999998</v>
      </c>
      <c r="E60" s="22">
        <f t="shared" si="54"/>
        <v>1263.1581687999999</v>
      </c>
      <c r="F60" s="22">
        <f t="shared" si="54"/>
        <v>485.48427839999999</v>
      </c>
      <c r="G60" s="22">
        <f t="shared" si="54"/>
        <v>4580.3584596000001</v>
      </c>
      <c r="H60" s="22">
        <f t="shared" si="54"/>
        <v>4300.32</v>
      </c>
      <c r="I60" s="22">
        <f t="shared" si="54"/>
        <v>10538.08</v>
      </c>
      <c r="J60" s="22">
        <f t="shared" si="54"/>
        <v>18725.150969599999</v>
      </c>
      <c r="K60" s="22">
        <f>K58*W59</f>
        <v>14500.895227999999</v>
      </c>
      <c r="M60" s="21" t="s">
        <v>81</v>
      </c>
      <c r="N60" s="22">
        <f t="shared" ref="N60:U60" si="55">B40</f>
        <v>0.46</v>
      </c>
      <c r="O60" s="22">
        <f t="shared" si="55"/>
        <v>0.54</v>
      </c>
      <c r="P60" s="22">
        <f t="shared" si="55"/>
        <v>0.06</v>
      </c>
      <c r="Q60" s="22">
        <f t="shared" si="55"/>
        <v>-9.91</v>
      </c>
      <c r="R60" s="22">
        <f t="shared" si="55"/>
        <v>-13.56</v>
      </c>
      <c r="S60" s="40">
        <f t="shared" si="55"/>
        <v>-3.73</v>
      </c>
      <c r="T60" s="22">
        <f t="shared" si="55"/>
        <v>2.17</v>
      </c>
      <c r="U60" s="22">
        <f t="shared" si="55"/>
        <v>9.68</v>
      </c>
      <c r="V60" s="22">
        <v>14.15</v>
      </c>
      <c r="W60" s="22">
        <f>J40+K40-10.97</f>
        <v>10.770000000000001</v>
      </c>
      <c r="X60" t="s">
        <v>182</v>
      </c>
    </row>
    <row r="61" spans="1:24" ht="15" customHeight="1" x14ac:dyDescent="0.3">
      <c r="A61" s="21" t="s">
        <v>76</v>
      </c>
      <c r="B61" s="22">
        <f t="shared" ref="B61:E61" si="56">N9</f>
        <v>1952.3620000000001</v>
      </c>
      <c r="C61" s="22">
        <f t="shared" si="56"/>
        <v>3701.0959999999995</v>
      </c>
      <c r="D61" s="22">
        <f t="shared" si="56"/>
        <v>4851.2289999999994</v>
      </c>
      <c r="E61" s="22">
        <f t="shared" si="56"/>
        <v>4680.5689999999995</v>
      </c>
      <c r="F61" s="22">
        <f t="shared" ref="F61:K61" si="57">R9</f>
        <v>4058.8109999999997</v>
      </c>
      <c r="G61" s="22">
        <f t="shared" si="57"/>
        <v>2693.45</v>
      </c>
      <c r="H61" s="22">
        <f t="shared" si="57"/>
        <v>2688.5299999999997</v>
      </c>
      <c r="I61" s="22">
        <f t="shared" si="57"/>
        <v>1816.941</v>
      </c>
      <c r="J61" s="22">
        <f t="shared" si="57"/>
        <v>1322.2829999999999</v>
      </c>
      <c r="K61" s="40" t="s">
        <v>184</v>
      </c>
      <c r="M61" s="21" t="s">
        <v>82</v>
      </c>
      <c r="N61" s="22">
        <f t="shared" ref="N61:V61" si="58">N5/B58</f>
        <v>27.880198824599546</v>
      </c>
      <c r="O61" s="22">
        <f t="shared" si="58"/>
        <v>31.30602055763708</v>
      </c>
      <c r="P61" s="22">
        <f t="shared" si="58"/>
        <v>31.875113342496249</v>
      </c>
      <c r="Q61" s="22">
        <f t="shared" si="58"/>
        <v>22.180870687490426</v>
      </c>
      <c r="R61" s="22">
        <f t="shared" si="58"/>
        <v>8.688130569131939</v>
      </c>
      <c r="S61" s="22">
        <f t="shared" si="58"/>
        <v>69.544130576150948</v>
      </c>
      <c r="T61" s="22">
        <f t="shared" si="58"/>
        <v>71.427245414294731</v>
      </c>
      <c r="U61" s="22">
        <f t="shared" si="58"/>
        <v>82.496480117820326</v>
      </c>
      <c r="V61" s="22">
        <f t="shared" si="58"/>
        <v>97.092172797517208</v>
      </c>
      <c r="W61" s="40" t="s">
        <v>184</v>
      </c>
    </row>
    <row r="62" spans="1:24" ht="15" customHeight="1" x14ac:dyDescent="0.3">
      <c r="A62" s="21" t="s">
        <v>77</v>
      </c>
      <c r="B62" s="22">
        <f t="shared" ref="B62:G62" si="59">N31+N32</f>
        <v>718.69200000000001</v>
      </c>
      <c r="C62" s="22">
        <f t="shared" si="59"/>
        <v>24.229999999999997</v>
      </c>
      <c r="D62" s="22">
        <f t="shared" si="59"/>
        <v>256.97899999999998</v>
      </c>
      <c r="E62" s="22">
        <f t="shared" si="59"/>
        <v>44.363999999999997</v>
      </c>
      <c r="F62" s="22">
        <f t="shared" si="59"/>
        <v>34.448</v>
      </c>
      <c r="G62" s="22">
        <f t="shared" si="59"/>
        <v>53.505999999999993</v>
      </c>
      <c r="H62" s="22">
        <f>T31+T32</f>
        <v>32.052</v>
      </c>
      <c r="I62" s="22">
        <f>U31+U32</f>
        <v>87.287000000000006</v>
      </c>
      <c r="J62" s="22">
        <f>V31+V32</f>
        <v>83.179999999999993</v>
      </c>
      <c r="K62" s="40" t="s">
        <v>184</v>
      </c>
      <c r="M62" t="s">
        <v>83</v>
      </c>
      <c r="N62" s="5">
        <f>18%*B59</f>
        <v>0.18</v>
      </c>
      <c r="O62" s="5">
        <f>15%*C59</f>
        <v>1.5</v>
      </c>
      <c r="P62" s="5">
        <f>15%*D59</f>
        <v>1.5</v>
      </c>
      <c r="Q62" s="5">
        <f>15%*E59</f>
        <v>1.5</v>
      </c>
      <c r="R62" s="5">
        <f>15%*F59</f>
        <v>1.5</v>
      </c>
      <c r="S62" s="5">
        <f>20%*G59</f>
        <v>2</v>
      </c>
      <c r="T62" s="5">
        <f>20%*H59</f>
        <v>2</v>
      </c>
      <c r="U62" s="82">
        <v>0</v>
      </c>
      <c r="V62" s="82">
        <v>0</v>
      </c>
      <c r="W62" s="82">
        <v>0</v>
      </c>
    </row>
    <row r="63" spans="1:24" ht="15" customHeight="1" x14ac:dyDescent="0.3">
      <c r="A63" s="16" t="s">
        <v>79</v>
      </c>
      <c r="B63" s="17">
        <f>SUM(B60:B61)-B62</f>
        <v>2868.1059840000003</v>
      </c>
      <c r="C63" s="17">
        <f t="shared" ref="C63:F63" si="60">SUM(C60:C61)-C62</f>
        <v>5630.0411756000003</v>
      </c>
      <c r="D63" s="17">
        <f t="shared" si="60"/>
        <v>7214.9660583999985</v>
      </c>
      <c r="E63" s="17">
        <f t="shared" si="60"/>
        <v>5899.3631687999996</v>
      </c>
      <c r="F63" s="17">
        <f t="shared" si="60"/>
        <v>4509.8472783999996</v>
      </c>
      <c r="G63" s="17">
        <f t="shared" ref="G63" si="61">SUM(G60:G61)-G62</f>
        <v>7220.3024595999996</v>
      </c>
      <c r="H63" s="17">
        <f t="shared" ref="H63:J63" si="62">SUM(H60:H61)-H62</f>
        <v>6956.7979999999998</v>
      </c>
      <c r="I63" s="17">
        <f t="shared" si="62"/>
        <v>12267.734</v>
      </c>
      <c r="J63" s="17">
        <f t="shared" si="62"/>
        <v>19964.253969599999</v>
      </c>
      <c r="K63" s="144" t="s">
        <v>184</v>
      </c>
      <c r="M63" s="21" t="s">
        <v>84</v>
      </c>
      <c r="N63" s="22">
        <f t="shared" ref="N63:S63" si="63">N59/N60</f>
        <v>71.630434782608702</v>
      </c>
      <c r="O63" s="22">
        <f t="shared" si="63"/>
        <v>80.462962962962962</v>
      </c>
      <c r="P63" s="22">
        <f t="shared" si="63"/>
        <v>971.66666666666663</v>
      </c>
      <c r="Q63" s="22">
        <f t="shared" si="63"/>
        <v>-2.8355196770938447</v>
      </c>
      <c r="R63" s="22">
        <f t="shared" si="63"/>
        <v>-0.79646017699115046</v>
      </c>
      <c r="S63" s="22">
        <f t="shared" si="63"/>
        <v>-19.624664879356569</v>
      </c>
      <c r="T63" s="40">
        <f>T59/5.61</f>
        <v>12.121212121212121</v>
      </c>
      <c r="U63" s="40">
        <f>U59/I40</f>
        <v>16.033057851239668</v>
      </c>
      <c r="V63" s="40">
        <f>V59/V60</f>
        <v>19.448763250883392</v>
      </c>
      <c r="W63" s="40">
        <f>W59/W60</f>
        <v>19.670380687093775</v>
      </c>
    </row>
    <row r="64" spans="1:24" ht="15" customHeight="1" x14ac:dyDescent="0.3">
      <c r="M64" s="21" t="s">
        <v>85</v>
      </c>
      <c r="N64" s="22">
        <f t="shared" ref="N64:V64" si="64">N59/N61</f>
        <v>1.1818423608560216</v>
      </c>
      <c r="O64" s="22">
        <f t="shared" si="64"/>
        <v>1.3879119487577416</v>
      </c>
      <c r="P64" s="22">
        <f t="shared" si="64"/>
        <v>1.829013104159658</v>
      </c>
      <c r="Q64" s="22">
        <f t="shared" si="64"/>
        <v>1.2668573923857664</v>
      </c>
      <c r="R64" s="22">
        <f t="shared" si="64"/>
        <v>1.2430752408776318</v>
      </c>
      <c r="S64" s="22">
        <f t="shared" si="64"/>
        <v>1.0525690578566638</v>
      </c>
      <c r="T64" s="40">
        <f t="shared" si="64"/>
        <v>0.95201767344637322</v>
      </c>
      <c r="U64" s="40">
        <f t="shared" si="64"/>
        <v>1.8812923870005787</v>
      </c>
      <c r="V64" s="40">
        <f t="shared" si="64"/>
        <v>2.8344200368645707</v>
      </c>
      <c r="W64" s="40" t="s">
        <v>184</v>
      </c>
    </row>
    <row r="65" spans="1:23" ht="15" customHeight="1" x14ac:dyDescent="0.3">
      <c r="A65" s="38"/>
      <c r="M65" s="21" t="s">
        <v>86</v>
      </c>
      <c r="N65" s="22">
        <f t="shared" ref="N65:S65" si="65">B63/B13</f>
        <v>34.846815257894278</v>
      </c>
      <c r="O65" s="22">
        <f t="shared" si="65"/>
        <v>92.354803490756368</v>
      </c>
      <c r="P65" s="22">
        <f t="shared" si="65"/>
        <v>42.172314364372816</v>
      </c>
      <c r="Q65" s="22">
        <f t="shared" si="65"/>
        <v>31.584216727521973</v>
      </c>
      <c r="R65" s="22">
        <f t="shared" si="65"/>
        <v>15.568107697671611</v>
      </c>
      <c r="S65" s="22">
        <f t="shared" si="65"/>
        <v>22.254044424855671</v>
      </c>
      <c r="T65" s="40">
        <f>H63/600</f>
        <v>11.594663333333333</v>
      </c>
      <c r="U65" s="40">
        <f>I63/I13</f>
        <v>8.8373681533764685</v>
      </c>
      <c r="V65" s="40">
        <f>J63/J13</f>
        <v>12.172249386243292</v>
      </c>
      <c r="W65" s="40" t="s">
        <v>184</v>
      </c>
    </row>
    <row r="66" spans="1:23" ht="15" customHeight="1" x14ac:dyDescent="0.3">
      <c r="C66" s="96"/>
      <c r="D66" s="96"/>
      <c r="E66" s="96"/>
      <c r="F66" s="96"/>
      <c r="G66" s="96"/>
      <c r="H66" s="134"/>
      <c r="I66" s="134"/>
      <c r="J66" s="134"/>
      <c r="K66" s="134"/>
      <c r="M66" s="21" t="s">
        <v>100</v>
      </c>
      <c r="N66" s="22"/>
      <c r="O66" s="22">
        <f t="shared" ref="O66:V66" si="66">C3/SUM(O16:O18)</f>
        <v>0.14740423502084327</v>
      </c>
      <c r="P66" s="22">
        <f t="shared" si="66"/>
        <v>0.29577932932455109</v>
      </c>
      <c r="Q66" s="22">
        <f t="shared" si="66"/>
        <v>0.42895220806139689</v>
      </c>
      <c r="R66" s="22">
        <f t="shared" si="66"/>
        <v>0.47798731523329346</v>
      </c>
      <c r="S66" s="22">
        <f t="shared" si="66"/>
        <v>0.48738866319070029</v>
      </c>
      <c r="T66" s="22">
        <f t="shared" si="66"/>
        <v>0.83484933217786073</v>
      </c>
      <c r="U66" s="22">
        <f t="shared" si="66"/>
        <v>1.2164513535721242</v>
      </c>
      <c r="V66" s="22">
        <f t="shared" si="66"/>
        <v>1.2753594564135062</v>
      </c>
      <c r="W66" s="40" t="s">
        <v>184</v>
      </c>
    </row>
    <row r="67" spans="1:23" ht="15" customHeight="1" x14ac:dyDescent="0.3">
      <c r="C67" s="5"/>
      <c r="D67" s="5"/>
      <c r="E67" s="5"/>
      <c r="F67" s="5"/>
      <c r="G67" s="5"/>
      <c r="I67" s="96"/>
      <c r="M67" s="21" t="s">
        <v>87</v>
      </c>
      <c r="N67" s="34">
        <f>B26/N5</f>
        <v>9.7094354411853857E-3</v>
      </c>
      <c r="O67" s="34">
        <f t="shared" ref="O67:V67" si="67">C30/O5</f>
        <v>1.7338460969987424E-2</v>
      </c>
      <c r="P67" s="34">
        <f t="shared" si="67"/>
        <v>1.737785600527129E-3</v>
      </c>
      <c r="Q67" s="34">
        <f t="shared" si="67"/>
        <v>-0.44686183656276351</v>
      </c>
      <c r="R67" s="34">
        <f t="shared" si="67"/>
        <v>-1.5608128003769037</v>
      </c>
      <c r="S67" s="34">
        <f t="shared" si="67"/>
        <v>-3.857708396384868E-2</v>
      </c>
      <c r="T67" s="34">
        <f t="shared" si="67"/>
        <v>3.0251320604844867E-2</v>
      </c>
      <c r="U67" s="34">
        <f t="shared" si="67"/>
        <v>0.11110287920527158</v>
      </c>
      <c r="V67" s="34">
        <f t="shared" si="67"/>
        <v>0.14561793113073287</v>
      </c>
      <c r="W67" s="40" t="s">
        <v>184</v>
      </c>
    </row>
    <row r="68" spans="1:23" ht="15" customHeight="1" x14ac:dyDescent="0.3">
      <c r="M68" s="21" t="s">
        <v>88</v>
      </c>
      <c r="N68" s="34">
        <f t="shared" ref="N68:V68" si="68">(B21+B19)/N12</f>
        <v>1.7373548680578808E-2</v>
      </c>
      <c r="O68" s="34">
        <f t="shared" si="68"/>
        <v>1.0501544135514814E-2</v>
      </c>
      <c r="P68" s="34">
        <f t="shared" si="68"/>
        <v>4.3511221430899111E-2</v>
      </c>
      <c r="Q68" s="34">
        <f t="shared" si="68"/>
        <v>-3.0933070884018076E-3</v>
      </c>
      <c r="R68" s="34">
        <f t="shared" si="68"/>
        <v>2.3153642858825926E-2</v>
      </c>
      <c r="S68" s="34">
        <f t="shared" si="68"/>
        <v>1.7208226133145692E-2</v>
      </c>
      <c r="T68" s="34">
        <f t="shared" si="68"/>
        <v>6.2228791437716369E-2</v>
      </c>
      <c r="U68" s="34">
        <f t="shared" si="68"/>
        <v>0.16752738394908301</v>
      </c>
      <c r="V68" s="34">
        <f t="shared" si="68"/>
        <v>0.18587323321943339</v>
      </c>
      <c r="W68" s="40" t="s">
        <v>184</v>
      </c>
    </row>
    <row r="69" spans="1:23" ht="15" customHeight="1" x14ac:dyDescent="0.3">
      <c r="M69" s="21" t="s">
        <v>89</v>
      </c>
      <c r="N69" s="22">
        <f t="shared" ref="N69:S69" si="69">N9/N5</f>
        <v>1.4117311035202855</v>
      </c>
      <c r="O69" s="22">
        <f t="shared" si="69"/>
        <v>2.6299716615646105</v>
      </c>
      <c r="P69" s="22">
        <f t="shared" si="69"/>
        <v>3.3857011650840478</v>
      </c>
      <c r="Q69" s="22">
        <f t="shared" si="69"/>
        <v>4.6942762867573311</v>
      </c>
      <c r="R69" s="22">
        <f t="shared" si="69"/>
        <v>10.392524919920827</v>
      </c>
      <c r="S69" s="22">
        <f t="shared" si="69"/>
        <v>0.61895638821499865</v>
      </c>
      <c r="T69" s="22">
        <f t="shared" ref="T69:U69" si="70">T9/T5</f>
        <v>0.59519479378064355</v>
      </c>
      <c r="U69" s="22">
        <f t="shared" si="70"/>
        <v>0.32436622904069989</v>
      </c>
      <c r="V69" s="22">
        <f t="shared" ref="V69" si="71">V9/V5</f>
        <v>0.2001535493994181</v>
      </c>
      <c r="W69" s="40" t="s">
        <v>184</v>
      </c>
    </row>
    <row r="70" spans="1:23" ht="15" customHeight="1" x14ac:dyDescent="0.3">
      <c r="M70" s="21" t="s">
        <v>90</v>
      </c>
      <c r="N70" s="22">
        <f t="shared" ref="N70:S70" si="72">(N9-N31-N32)/N5</f>
        <v>0.8920529648087141</v>
      </c>
      <c r="O70" s="22">
        <f t="shared" si="72"/>
        <v>2.612754001347283</v>
      </c>
      <c r="P70" s="22">
        <f t="shared" si="72"/>
        <v>3.206354014145155</v>
      </c>
      <c r="Q70" s="22">
        <f t="shared" si="72"/>
        <v>4.6497823645043512</v>
      </c>
      <c r="R70" s="22">
        <f t="shared" si="72"/>
        <v>10.304321330632872</v>
      </c>
      <c r="S70" s="22">
        <f t="shared" si="72"/>
        <v>0.60666067806339685</v>
      </c>
      <c r="T70" s="22">
        <f t="shared" ref="T70:U70" si="73">(T9-T31-T32)/T5</f>
        <v>0.58809902637977507</v>
      </c>
      <c r="U70" s="22">
        <f t="shared" si="73"/>
        <v>0.30878346931747519</v>
      </c>
      <c r="V70" s="22">
        <f t="shared" ref="V70" si="74">(V9-V31-V32)/V5</f>
        <v>0.18756261974287439</v>
      </c>
      <c r="W70" s="40" t="s">
        <v>184</v>
      </c>
    </row>
    <row r="71" spans="1:23" ht="15" customHeight="1" x14ac:dyDescent="0.3">
      <c r="M71" s="21" t="s">
        <v>91</v>
      </c>
      <c r="N71" s="35">
        <f t="shared" ref="N71:V71" si="75">N62/N59</f>
        <v>5.4628224582701059E-3</v>
      </c>
      <c r="O71" s="35">
        <f t="shared" si="75"/>
        <v>3.4522439585730723E-2</v>
      </c>
      <c r="P71" s="35">
        <f t="shared" si="75"/>
        <v>2.5728987993138937E-2</v>
      </c>
      <c r="Q71" s="35">
        <f t="shared" si="75"/>
        <v>5.3380782918149461E-2</v>
      </c>
      <c r="R71" s="35">
        <f t="shared" si="75"/>
        <v>0.13888888888888887</v>
      </c>
      <c r="S71" s="35">
        <f t="shared" si="75"/>
        <v>2.7322404371584699E-2</v>
      </c>
      <c r="T71" s="35">
        <f t="shared" si="75"/>
        <v>2.9411764705882353E-2</v>
      </c>
      <c r="U71" s="35">
        <f t="shared" si="75"/>
        <v>0</v>
      </c>
      <c r="V71" s="35">
        <f t="shared" si="75"/>
        <v>0</v>
      </c>
      <c r="W71" s="35">
        <f t="shared" ref="W71" si="76">W62/W59</f>
        <v>0</v>
      </c>
    </row>
    <row r="72" spans="1:23" ht="15" customHeight="1" x14ac:dyDescent="0.3">
      <c r="E72" s="95"/>
      <c r="M72" s="21" t="s">
        <v>92</v>
      </c>
      <c r="N72" s="22"/>
      <c r="O72" s="22">
        <f t="shared" ref="O72:V72" si="77">AVERAGE(N30:O30)/C3*365</f>
        <v>86.825124975553592</v>
      </c>
      <c r="P72" s="22">
        <f t="shared" si="77"/>
        <v>43.645370501054366</v>
      </c>
      <c r="Q72" s="22">
        <f t="shared" si="77"/>
        <v>45.046645636530769</v>
      </c>
      <c r="R72" s="22">
        <f t="shared" si="77"/>
        <v>46.423029031716084</v>
      </c>
      <c r="S72" s="22">
        <f t="shared" si="77"/>
        <v>47.900735965707156</v>
      </c>
      <c r="T72" s="22">
        <f t="shared" si="77"/>
        <v>33.850881710533045</v>
      </c>
      <c r="U72" s="22">
        <f t="shared" si="77"/>
        <v>27.12929483952945</v>
      </c>
      <c r="V72" s="22">
        <f t="shared" si="77"/>
        <v>37.22166464335492</v>
      </c>
      <c r="W72" s="40" t="s">
        <v>184</v>
      </c>
    </row>
    <row r="73" spans="1:23" ht="15" customHeight="1" x14ac:dyDescent="0.3">
      <c r="E73" s="95"/>
      <c r="M73" s="21" t="s">
        <v>93</v>
      </c>
      <c r="N73" s="22"/>
      <c r="O73" s="22">
        <f t="shared" ref="O73:V73" si="78">AVERAGE(N40:O40)/(SUM(C7:C12))*365</f>
        <v>88.300073255788902</v>
      </c>
      <c r="P73" s="22">
        <f t="shared" si="78"/>
        <v>68.991190001299643</v>
      </c>
      <c r="Q73" s="22">
        <f t="shared" si="78"/>
        <v>56.893703206785339</v>
      </c>
      <c r="R73" s="22">
        <f t="shared" si="78"/>
        <v>33.963594805072177</v>
      </c>
      <c r="S73" s="22">
        <f t="shared" si="78"/>
        <v>18.253118084892371</v>
      </c>
      <c r="T73" s="22">
        <f t="shared" si="78"/>
        <v>22.128740315638449</v>
      </c>
      <c r="U73" s="22">
        <f t="shared" si="78"/>
        <v>19.905624212794773</v>
      </c>
      <c r="V73" s="22">
        <f t="shared" si="78"/>
        <v>9.4501445762184666</v>
      </c>
      <c r="W73" s="40" t="s">
        <v>184</v>
      </c>
    </row>
    <row r="74" spans="1:23" ht="15" customHeight="1" x14ac:dyDescent="0.3">
      <c r="E74" s="95"/>
      <c r="M74" s="21" t="s">
        <v>94</v>
      </c>
      <c r="N74" s="22"/>
      <c r="O74" s="22">
        <f t="shared" ref="O74:V74" si="79">AVERAGE(N28:O28)/(SUM(C7:C12))*365</f>
        <v>219.44921573214236</v>
      </c>
      <c r="P74" s="22">
        <f t="shared" si="79"/>
        <v>141.78396920396042</v>
      </c>
      <c r="Q74" s="22">
        <f t="shared" si="79"/>
        <v>133.45880755413347</v>
      </c>
      <c r="R74" s="22">
        <f t="shared" si="79"/>
        <v>132.8478462155874</v>
      </c>
      <c r="S74" s="22">
        <f t="shared" si="79"/>
        <v>119.33514383423855</v>
      </c>
      <c r="T74" s="22">
        <f t="shared" si="79"/>
        <v>76.022587517933999</v>
      </c>
      <c r="U74" s="22">
        <f t="shared" si="79"/>
        <v>77.223416255800416</v>
      </c>
      <c r="V74" s="22">
        <f t="shared" si="79"/>
        <v>83.17456251441611</v>
      </c>
      <c r="W74" s="40" t="s">
        <v>184</v>
      </c>
    </row>
    <row r="75" spans="1:23" ht="15" customHeight="1" x14ac:dyDescent="0.3">
      <c r="M75" s="21" t="s">
        <v>95</v>
      </c>
      <c r="N75" s="22"/>
      <c r="O75" s="22">
        <f>O72+O74-O73</f>
        <v>217.97426745190705</v>
      </c>
      <c r="P75" s="22">
        <f t="shared" ref="P75:R75" si="80">P72+P74-P73</f>
        <v>116.43814970371515</v>
      </c>
      <c r="Q75" s="22">
        <f t="shared" si="80"/>
        <v>121.61174998387889</v>
      </c>
      <c r="R75" s="22">
        <f t="shared" si="80"/>
        <v>145.3072804422313</v>
      </c>
      <c r="S75" s="22">
        <f t="shared" ref="S75:U75" si="81">S72+S74-S73</f>
        <v>148.98276171505333</v>
      </c>
      <c r="T75" s="22">
        <f t="shared" si="81"/>
        <v>87.744728912828592</v>
      </c>
      <c r="U75" s="22">
        <f t="shared" si="81"/>
        <v>84.447086882535089</v>
      </c>
      <c r="V75" s="22">
        <f t="shared" ref="V75" si="82">V72+V74-V73</f>
        <v>110.94608258155256</v>
      </c>
      <c r="W75" s="40" t="s">
        <v>184</v>
      </c>
    </row>
    <row r="76" spans="1:23" ht="15" customHeight="1" x14ac:dyDescent="0.3">
      <c r="E76" s="95"/>
      <c r="M76" s="21" t="s">
        <v>96</v>
      </c>
      <c r="N76" s="22"/>
      <c r="O76" s="22">
        <f t="shared" ref="O76:V76" si="83">AVERAGE(N46:O46)/C3*365</f>
        <v>298.09060006556558</v>
      </c>
      <c r="P76" s="22">
        <f t="shared" si="83"/>
        <v>107.44443928325347</v>
      </c>
      <c r="Q76" s="22">
        <f t="shared" si="83"/>
        <v>27.215038680379045</v>
      </c>
      <c r="R76" s="22">
        <f t="shared" si="83"/>
        <v>-122.78093663264069</v>
      </c>
      <c r="S76" s="22">
        <f t="shared" si="83"/>
        <v>-12.408993595275605</v>
      </c>
      <c r="T76" s="22">
        <f t="shared" si="83"/>
        <v>133.06174591347505</v>
      </c>
      <c r="U76" s="22">
        <f t="shared" si="83"/>
        <v>126.85598733245682</v>
      </c>
      <c r="V76" s="22">
        <f t="shared" si="83"/>
        <v>163.65393859113499</v>
      </c>
      <c r="W76" s="40" t="s">
        <v>184</v>
      </c>
    </row>
    <row r="77" spans="1:23" ht="15" customHeight="1" x14ac:dyDescent="0.3">
      <c r="E77" s="95"/>
      <c r="M77" s="21" t="s">
        <v>97</v>
      </c>
      <c r="N77" s="34">
        <f t="shared" ref="N77:V77" si="84">B19/N9</f>
        <v>1.906102147040354E-2</v>
      </c>
      <c r="O77" s="34">
        <f t="shared" si="84"/>
        <v>6.8682357874532305E-3</v>
      </c>
      <c r="P77" s="34">
        <f t="shared" si="84"/>
        <v>5.1913236831326669E-2</v>
      </c>
      <c r="Q77" s="34">
        <f t="shared" si="84"/>
        <v>0.15517173232570655</v>
      </c>
      <c r="R77" s="34">
        <f t="shared" si="84"/>
        <v>0.22043278191568916</v>
      </c>
      <c r="S77" s="34">
        <f t="shared" si="84"/>
        <v>0.12649650077038743</v>
      </c>
      <c r="T77" s="34">
        <f t="shared" si="84"/>
        <v>8.7000331035919268E-2</v>
      </c>
      <c r="U77" s="34">
        <f t="shared" si="84"/>
        <v>0.12217732991880309</v>
      </c>
      <c r="V77" s="34">
        <f t="shared" si="84"/>
        <v>0.11182401951775831</v>
      </c>
      <c r="W77" s="40" t="s">
        <v>184</v>
      </c>
    </row>
    <row r="78" spans="1:23" ht="15" customHeight="1" x14ac:dyDescent="0.3">
      <c r="E78" s="95"/>
      <c r="M78" s="21" t="s">
        <v>98</v>
      </c>
      <c r="N78" s="22">
        <f t="shared" ref="N78:V78" si="85">(B21+B19)/B19</f>
        <v>1.595876139563982</v>
      </c>
      <c r="O78" s="22">
        <f t="shared" si="85"/>
        <v>2.1488985051140848</v>
      </c>
      <c r="P78" s="22">
        <f t="shared" si="85"/>
        <v>1.0121146905016225</v>
      </c>
      <c r="Q78" s="22">
        <f t="shared" si="85"/>
        <v>-1.969868868168775E-2</v>
      </c>
      <c r="R78" s="22">
        <f t="shared" si="85"/>
        <v>8.3467550394268286E-2</v>
      </c>
      <c r="S78" s="22">
        <f t="shared" si="85"/>
        <v>0.33074268003475088</v>
      </c>
      <c r="T78" s="22">
        <f t="shared" si="85"/>
        <v>1.7664672962723862</v>
      </c>
      <c r="U78" s="22">
        <f t="shared" si="85"/>
        <v>5.3529273973034703</v>
      </c>
      <c r="V78" s="22">
        <f t="shared" si="85"/>
        <v>9.7165957677038843</v>
      </c>
      <c r="W78" s="40" t="s">
        <v>184</v>
      </c>
    </row>
    <row r="79" spans="1:23" ht="15" customHeight="1" x14ac:dyDescent="0.3">
      <c r="E79" s="95"/>
      <c r="S79" s="5"/>
    </row>
    <row r="80" spans="1:23" ht="15" customHeight="1" x14ac:dyDescent="0.3">
      <c r="E80" s="95"/>
      <c r="M80" s="2" t="s">
        <v>177</v>
      </c>
    </row>
    <row r="81" spans="13:20" ht="15" customHeight="1" x14ac:dyDescent="0.3">
      <c r="M81" t="s">
        <v>35</v>
      </c>
      <c r="N81" s="6">
        <f t="shared" ref="N81:S81" si="86">N55-N56</f>
        <v>-2.0000000004074536E-3</v>
      </c>
      <c r="O81" s="6">
        <f t="shared" si="86"/>
        <v>-2.0000000013169483E-3</v>
      </c>
      <c r="P81" s="6">
        <f t="shared" si="86"/>
        <v>3.9999999999054126E-3</v>
      </c>
      <c r="Q81" s="6">
        <f t="shared" si="86"/>
        <v>-4.5000000000982254E-2</v>
      </c>
      <c r="R81" s="6">
        <f t="shared" si="86"/>
        <v>-5.0000000001091394E-3</v>
      </c>
      <c r="S81" s="5">
        <f t="shared" si="86"/>
        <v>-2.0000000004074536E-3</v>
      </c>
      <c r="T81" s="5">
        <f t="shared" ref="T81" si="87">T55-T56</f>
        <v>0</v>
      </c>
    </row>
    <row r="82" spans="13:20" ht="15" customHeight="1" x14ac:dyDescent="0.3">
      <c r="M82" t="s">
        <v>36</v>
      </c>
      <c r="N82" s="6">
        <f t="shared" ref="N82:S82" si="88">N11-N12</f>
        <v>-2.0000000004074536E-3</v>
      </c>
      <c r="O82" s="6">
        <f t="shared" si="88"/>
        <v>-2.0000000004074536E-3</v>
      </c>
      <c r="P82" s="6">
        <f t="shared" si="88"/>
        <v>3.9999999999054126E-3</v>
      </c>
      <c r="Q82" s="6">
        <f t="shared" si="88"/>
        <v>-4.500000000007276E-2</v>
      </c>
      <c r="R82" s="6">
        <f t="shared" si="88"/>
        <v>-5.0000000005638867E-3</v>
      </c>
      <c r="S82" s="5">
        <f t="shared" si="88"/>
        <v>-2.0000000004074536E-3</v>
      </c>
      <c r="T82" s="5">
        <f t="shared" ref="T82" si="89">T11-T12</f>
        <v>0</v>
      </c>
    </row>
    <row r="84" spans="13:20" ht="15" customHeight="1" x14ac:dyDescent="0.3">
      <c r="O84" s="135"/>
      <c r="P84" s="135"/>
      <c r="Q84" s="135"/>
      <c r="R84" s="135"/>
      <c r="S84" s="135"/>
      <c r="T84" s="135"/>
    </row>
  </sheetData>
  <phoneticPr fontId="17" type="noConversion"/>
  <printOptions horizontalCentered="1" verticalCentered="1"/>
  <pageMargins left="0" right="0" top="0.196850393700787" bottom="0" header="0" footer="0"/>
  <pageSetup paperSize="4" scale="37" orientation="landscape" horizontalDpi="1200" verticalDpi="1200" r:id="rId1"/>
  <ignoredErrors>
    <ignoredError sqref="B49 D49:G49 J49 P72:R72 O75:V75 O72 S72:T72 Q66:V66 O73:T73 O74:T74 V74 U72:V73 U74" formulaRange="1"/>
    <ignoredError sqref="C26 T65 I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workbookViewId="0">
      <selection activeCell="G55" sqref="G55"/>
    </sheetView>
  </sheetViews>
  <sheetFormatPr defaultColWidth="8.88671875" defaultRowHeight="13.2" x14ac:dyDescent="0.25"/>
  <cols>
    <col min="1" max="1" width="32.109375" style="98" bestFit="1" customWidth="1"/>
    <col min="2" max="2" width="12.109375" style="98" bestFit="1" customWidth="1"/>
    <col min="3" max="3" width="10.109375" style="98" bestFit="1" customWidth="1"/>
    <col min="4" max="4" width="15.88671875" style="98" bestFit="1" customWidth="1"/>
    <col min="5" max="5" width="16.6640625" style="98" bestFit="1" customWidth="1"/>
    <col min="6" max="7" width="17.33203125" style="98" bestFit="1" customWidth="1"/>
    <col min="8" max="9" width="19.109375" style="98" bestFit="1" customWidth="1"/>
    <col min="10" max="11" width="16.44140625" style="98" bestFit="1" customWidth="1"/>
    <col min="12" max="16384" width="8.88671875" style="98"/>
  </cols>
  <sheetData>
    <row r="1" spans="1:12" ht="15" thickBot="1" x14ac:dyDescent="0.35">
      <c r="A1" s="97" t="s">
        <v>156</v>
      </c>
      <c r="B1" s="141" t="s">
        <v>169</v>
      </c>
      <c r="C1" s="142"/>
      <c r="D1" s="141" t="s">
        <v>170</v>
      </c>
      <c r="E1" s="142"/>
      <c r="F1" s="141" t="s">
        <v>171</v>
      </c>
      <c r="G1" s="142"/>
      <c r="H1" s="141" t="s">
        <v>172</v>
      </c>
      <c r="I1" s="142"/>
      <c r="J1" s="141" t="s">
        <v>173</v>
      </c>
      <c r="K1" s="142"/>
    </row>
    <row r="2" spans="1:12" ht="14.4" x14ac:dyDescent="0.3">
      <c r="A2" s="99" t="s">
        <v>107</v>
      </c>
      <c r="B2" s="100" t="s">
        <v>56</v>
      </c>
      <c r="C2" s="100" t="s">
        <v>157</v>
      </c>
      <c r="D2" s="100" t="s">
        <v>56</v>
      </c>
      <c r="E2" s="100" t="s">
        <v>157</v>
      </c>
      <c r="F2" s="100" t="s">
        <v>56</v>
      </c>
      <c r="G2" s="100" t="s">
        <v>157</v>
      </c>
      <c r="H2" s="100" t="s">
        <v>56</v>
      </c>
      <c r="I2" s="100" t="s">
        <v>157</v>
      </c>
      <c r="J2" s="100" t="s">
        <v>56</v>
      </c>
      <c r="K2" s="100" t="s">
        <v>157</v>
      </c>
    </row>
    <row r="3" spans="1:12" ht="14.4" x14ac:dyDescent="0.3">
      <c r="A3" s="101" t="s">
        <v>158</v>
      </c>
      <c r="B3" s="128">
        <v>250.17</v>
      </c>
      <c r="C3" s="128"/>
      <c r="D3" s="114">
        <v>20972.799999999999</v>
      </c>
      <c r="E3" s="114">
        <v>26880.7</v>
      </c>
      <c r="F3" s="128"/>
      <c r="G3" s="128"/>
      <c r="H3" s="128"/>
      <c r="I3" s="128"/>
      <c r="J3" s="107"/>
      <c r="K3" s="107"/>
      <c r="L3" s="98">
        <v>10</v>
      </c>
    </row>
    <row r="4" spans="1:12" ht="14.4" x14ac:dyDescent="0.3">
      <c r="A4" s="102" t="s">
        <v>140</v>
      </c>
      <c r="B4" s="103">
        <v>0.14199999999999999</v>
      </c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4.4" x14ac:dyDescent="0.3">
      <c r="A5" s="101" t="s">
        <v>47</v>
      </c>
      <c r="B5" s="104">
        <v>32.44</v>
      </c>
      <c r="C5" s="104"/>
      <c r="D5" s="114">
        <v>2836.2</v>
      </c>
      <c r="E5" s="114">
        <v>3836.7</v>
      </c>
      <c r="F5" s="104"/>
      <c r="G5" s="104"/>
      <c r="H5" s="104"/>
      <c r="I5" s="104"/>
      <c r="J5" s="107"/>
      <c r="K5" s="107"/>
    </row>
    <row r="6" spans="1:12" ht="14.4" x14ac:dyDescent="0.3">
      <c r="A6" s="102" t="s">
        <v>140</v>
      </c>
      <c r="B6" s="103">
        <v>0.23799999999999999</v>
      </c>
      <c r="C6" s="105"/>
      <c r="D6" s="105"/>
      <c r="E6" s="105"/>
      <c r="F6" s="105"/>
      <c r="G6" s="105"/>
      <c r="H6" s="105"/>
      <c r="I6" s="105"/>
      <c r="J6" s="105"/>
      <c r="K6" s="105"/>
    </row>
    <row r="7" spans="1:12" ht="14.4" x14ac:dyDescent="0.3">
      <c r="A7" s="101" t="s">
        <v>142</v>
      </c>
      <c r="B7" s="106">
        <f>B5/B3</f>
        <v>0.12967182316025103</v>
      </c>
      <c r="C7" s="106" t="e">
        <f t="shared" ref="C7:K7" si="0">C5/C3</f>
        <v>#DIV/0!</v>
      </c>
      <c r="D7" s="106">
        <f t="shared" si="0"/>
        <v>0.13523230088495575</v>
      </c>
      <c r="E7" s="106">
        <f t="shared" si="0"/>
        <v>0.14273065805577978</v>
      </c>
      <c r="F7" s="106" t="e">
        <f t="shared" si="0"/>
        <v>#DIV/0!</v>
      </c>
      <c r="G7" s="106" t="e">
        <f t="shared" si="0"/>
        <v>#DIV/0!</v>
      </c>
      <c r="H7" s="106" t="e">
        <f t="shared" si="0"/>
        <v>#DIV/0!</v>
      </c>
      <c r="I7" s="106" t="e">
        <f t="shared" si="0"/>
        <v>#DIV/0!</v>
      </c>
      <c r="J7" s="106" t="e">
        <f t="shared" si="0"/>
        <v>#DIV/0!</v>
      </c>
      <c r="K7" s="106" t="e">
        <f t="shared" si="0"/>
        <v>#DIV/0!</v>
      </c>
    </row>
    <row r="8" spans="1:12" ht="14.4" x14ac:dyDescent="0.3">
      <c r="A8" s="101" t="s">
        <v>141</v>
      </c>
      <c r="B8" s="104">
        <v>-16.79</v>
      </c>
      <c r="C8" s="104"/>
      <c r="D8" s="114">
        <v>1515</v>
      </c>
      <c r="E8" s="114">
        <v>2914.3</v>
      </c>
      <c r="F8" s="104"/>
      <c r="G8" s="104"/>
      <c r="H8" s="104"/>
      <c r="I8" s="104"/>
      <c r="J8" s="107"/>
      <c r="K8" s="107"/>
    </row>
    <row r="9" spans="1:12" ht="14.4" x14ac:dyDescent="0.3">
      <c r="A9" s="102" t="s">
        <v>140</v>
      </c>
      <c r="B9" s="103">
        <v>-5.07</v>
      </c>
      <c r="C9" s="103"/>
      <c r="D9" s="103"/>
      <c r="E9" s="103"/>
      <c r="F9" s="103"/>
      <c r="G9" s="103"/>
      <c r="H9" s="103"/>
      <c r="I9" s="103"/>
      <c r="J9" s="103"/>
      <c r="K9" s="103"/>
    </row>
    <row r="10" spans="1:12" ht="14.4" x14ac:dyDescent="0.3">
      <c r="A10" s="101" t="s">
        <v>139</v>
      </c>
      <c r="B10" s="106">
        <f>B8/B3</f>
        <v>-6.7114362233681099E-2</v>
      </c>
      <c r="C10" s="106" t="e">
        <f t="shared" ref="C10:K10" si="1">C8/C3</f>
        <v>#DIV/0!</v>
      </c>
      <c r="D10" s="106">
        <f t="shared" si="1"/>
        <v>7.2236420506560886E-2</v>
      </c>
      <c r="E10" s="106">
        <f t="shared" si="1"/>
        <v>0.10841607547422501</v>
      </c>
      <c r="F10" s="106" t="e">
        <f t="shared" si="1"/>
        <v>#DIV/0!</v>
      </c>
      <c r="G10" s="106" t="e">
        <f t="shared" si="1"/>
        <v>#DIV/0!</v>
      </c>
      <c r="H10" s="106" t="e">
        <f t="shared" si="1"/>
        <v>#DIV/0!</v>
      </c>
      <c r="I10" s="106" t="e">
        <f t="shared" si="1"/>
        <v>#DIV/0!</v>
      </c>
      <c r="J10" s="106" t="e">
        <f t="shared" si="1"/>
        <v>#DIV/0!</v>
      </c>
      <c r="K10" s="106" t="e">
        <f t="shared" si="1"/>
        <v>#DIV/0!</v>
      </c>
    </row>
    <row r="11" spans="1:12" ht="14.4" x14ac:dyDescent="0.3">
      <c r="A11" s="102" t="s">
        <v>55</v>
      </c>
      <c r="B11" s="107">
        <v>-3.73</v>
      </c>
      <c r="C11" s="107"/>
      <c r="D11" s="107">
        <v>4.91</v>
      </c>
      <c r="E11" s="107">
        <v>9.56</v>
      </c>
      <c r="F11" s="107"/>
      <c r="G11" s="107"/>
      <c r="H11" s="107"/>
      <c r="I11" s="107"/>
      <c r="J11" s="107"/>
      <c r="K11" s="107"/>
    </row>
    <row r="12" spans="1:12" ht="14.4" x14ac:dyDescent="0.3">
      <c r="A12" s="102"/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2" ht="15" thickBot="1" x14ac:dyDescent="0.35">
      <c r="A13" s="108"/>
      <c r="B13" s="109"/>
      <c r="C13" s="109"/>
      <c r="D13" s="109"/>
      <c r="E13" s="109"/>
      <c r="F13" s="109"/>
      <c r="G13" s="109"/>
      <c r="H13" s="109"/>
      <c r="I13" s="109"/>
      <c r="J13" s="107"/>
      <c r="K13" s="107"/>
    </row>
    <row r="14" spans="1:12" ht="15" thickBot="1" x14ac:dyDescent="0.35">
      <c r="A14" s="110" t="s">
        <v>138</v>
      </c>
      <c r="B14" s="111"/>
      <c r="C14" s="111"/>
      <c r="D14" s="111"/>
      <c r="E14" s="111"/>
      <c r="F14" s="111"/>
      <c r="G14" s="111"/>
      <c r="H14" s="111"/>
      <c r="I14" s="111"/>
      <c r="J14" s="126"/>
      <c r="K14" s="127"/>
    </row>
    <row r="15" spans="1:12" ht="14.4" x14ac:dyDescent="0.3">
      <c r="A15" s="112" t="s">
        <v>137</v>
      </c>
      <c r="B15" s="104">
        <v>4351.6000000000004</v>
      </c>
      <c r="C15" s="104"/>
      <c r="D15" s="107">
        <v>14035</v>
      </c>
      <c r="E15" s="107">
        <v>16936.7</v>
      </c>
      <c r="F15" s="104"/>
      <c r="G15" s="104"/>
      <c r="H15" s="104"/>
      <c r="I15" s="104"/>
      <c r="J15" s="107"/>
      <c r="K15" s="107"/>
    </row>
    <row r="16" spans="1:12" ht="14.4" x14ac:dyDescent="0.3">
      <c r="A16" s="101" t="s">
        <v>76</v>
      </c>
      <c r="B16" s="104">
        <f>SUM(B17:B18)</f>
        <v>2693.45</v>
      </c>
      <c r="C16" s="104">
        <f t="shared" ref="C16:K16" si="2">SUM(C17:C18)</f>
        <v>0</v>
      </c>
      <c r="D16" s="104">
        <f t="shared" si="2"/>
        <v>4866.1000000000004</v>
      </c>
      <c r="E16" s="104">
        <f t="shared" si="2"/>
        <v>3664.6000000000004</v>
      </c>
      <c r="F16" s="104">
        <f t="shared" si="2"/>
        <v>0</v>
      </c>
      <c r="G16" s="104">
        <f t="shared" si="2"/>
        <v>0</v>
      </c>
      <c r="H16" s="104">
        <f t="shared" si="2"/>
        <v>0</v>
      </c>
      <c r="I16" s="104">
        <f t="shared" si="2"/>
        <v>0</v>
      </c>
      <c r="J16" s="104">
        <f t="shared" si="2"/>
        <v>0</v>
      </c>
      <c r="K16" s="104">
        <f t="shared" si="2"/>
        <v>0</v>
      </c>
    </row>
    <row r="17" spans="1:11" ht="14.4" x14ac:dyDescent="0.3">
      <c r="A17" s="115" t="s">
        <v>136</v>
      </c>
      <c r="B17" s="116">
        <v>2143.4499999999998</v>
      </c>
      <c r="C17" s="116"/>
      <c r="D17" s="107">
        <v>2373.9</v>
      </c>
      <c r="E17" s="107">
        <v>1885.4</v>
      </c>
      <c r="F17" s="116"/>
      <c r="G17" s="116"/>
      <c r="H17" s="116"/>
      <c r="I17" s="116"/>
      <c r="J17" s="107"/>
      <c r="K17" s="107"/>
    </row>
    <row r="18" spans="1:11" ht="14.4" x14ac:dyDescent="0.3">
      <c r="A18" s="115" t="s">
        <v>135</v>
      </c>
      <c r="B18" s="116">
        <v>550</v>
      </c>
      <c r="C18" s="116"/>
      <c r="D18" s="107">
        <v>2492.1999999999998</v>
      </c>
      <c r="E18" s="107">
        <v>1779.2</v>
      </c>
      <c r="F18" s="116"/>
      <c r="G18" s="116"/>
      <c r="H18" s="116"/>
      <c r="I18" s="116"/>
      <c r="J18" s="107"/>
      <c r="K18" s="107"/>
    </row>
    <row r="19" spans="1:11" ht="14.4" x14ac:dyDescent="0.3">
      <c r="A19" s="102" t="s">
        <v>77</v>
      </c>
      <c r="B19" s="104">
        <v>53.51</v>
      </c>
      <c r="C19" s="104"/>
      <c r="D19" s="107">
        <f>(9946+1941)/10</f>
        <v>1188.7</v>
      </c>
      <c r="E19" s="107">
        <f>(15438+1030)/10</f>
        <v>1646.8</v>
      </c>
      <c r="F19" s="104"/>
      <c r="G19" s="104"/>
      <c r="H19" s="104"/>
      <c r="I19" s="104"/>
      <c r="J19" s="107"/>
      <c r="K19" s="107"/>
    </row>
    <row r="20" spans="1:11" ht="14.4" x14ac:dyDescent="0.3">
      <c r="A20" s="108" t="s">
        <v>59</v>
      </c>
      <c r="B20" s="117">
        <v>34.07</v>
      </c>
      <c r="C20" s="117"/>
      <c r="D20" s="107">
        <v>569</v>
      </c>
      <c r="E20" s="107">
        <v>424.6</v>
      </c>
      <c r="F20" s="117"/>
      <c r="G20" s="117"/>
      <c r="H20" s="117"/>
      <c r="I20" s="117"/>
      <c r="J20" s="109"/>
      <c r="K20" s="109"/>
    </row>
    <row r="21" spans="1:11" ht="14.4" x14ac:dyDescent="0.3">
      <c r="A21" s="129" t="s">
        <v>134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 ht="14.4" x14ac:dyDescent="0.3">
      <c r="A22" s="118" t="s">
        <v>133</v>
      </c>
      <c r="B22" s="119">
        <v>-244.19</v>
      </c>
      <c r="C22" s="119"/>
      <c r="D22" s="107">
        <v>2137</v>
      </c>
      <c r="E22" s="107">
        <v>1585.7</v>
      </c>
      <c r="F22" s="119"/>
      <c r="G22" s="119"/>
      <c r="H22" s="119"/>
      <c r="I22" s="119"/>
      <c r="J22" s="123"/>
      <c r="K22" s="123"/>
    </row>
    <row r="23" spans="1:11" ht="14.4" x14ac:dyDescent="0.3">
      <c r="A23" s="102" t="s">
        <v>159</v>
      </c>
      <c r="B23" s="120">
        <v>-1.35</v>
      </c>
      <c r="C23" s="120"/>
      <c r="D23" s="107">
        <v>-344.5</v>
      </c>
      <c r="E23" s="107">
        <v>557.4</v>
      </c>
      <c r="F23" s="120"/>
      <c r="G23" s="120"/>
      <c r="H23" s="120"/>
      <c r="I23" s="120"/>
      <c r="J23" s="107"/>
      <c r="K23" s="107"/>
    </row>
    <row r="24" spans="1:11" ht="14.4" x14ac:dyDescent="0.3">
      <c r="A24" s="102" t="s">
        <v>74</v>
      </c>
      <c r="B24" s="120">
        <v>247.44</v>
      </c>
      <c r="C24" s="120"/>
      <c r="D24" s="107">
        <v>-1774.9</v>
      </c>
      <c r="E24" s="107">
        <v>-1605.9</v>
      </c>
      <c r="F24" s="120"/>
      <c r="G24" s="120"/>
      <c r="H24" s="120"/>
      <c r="I24" s="120"/>
      <c r="J24" s="107"/>
      <c r="K24" s="107"/>
    </row>
    <row r="25" spans="1:11" ht="14.4" x14ac:dyDescent="0.3">
      <c r="A25" s="102" t="s">
        <v>114</v>
      </c>
      <c r="B25" s="104">
        <f>B28*B37</f>
        <v>4580.1239999999998</v>
      </c>
      <c r="C25" s="104">
        <f t="shared" ref="C25:K25" si="3">C28*C37</f>
        <v>0</v>
      </c>
      <c r="D25" s="104">
        <f t="shared" ref="D25:E25" si="4">D28*D37</f>
        <v>10086.960531000001</v>
      </c>
      <c r="E25" s="104">
        <f t="shared" si="4"/>
        <v>40987.800344999996</v>
      </c>
      <c r="F25" s="104">
        <f t="shared" si="3"/>
        <v>0</v>
      </c>
      <c r="G25" s="104">
        <f t="shared" si="3"/>
        <v>0</v>
      </c>
      <c r="H25" s="104">
        <f t="shared" si="3"/>
        <v>0</v>
      </c>
      <c r="I25" s="104">
        <f t="shared" si="3"/>
        <v>0</v>
      </c>
      <c r="J25" s="104">
        <f t="shared" si="3"/>
        <v>0</v>
      </c>
      <c r="K25" s="104">
        <f t="shared" si="3"/>
        <v>0</v>
      </c>
    </row>
    <row r="26" spans="1:11" ht="14.4" x14ac:dyDescent="0.3">
      <c r="A26" s="102" t="s">
        <v>79</v>
      </c>
      <c r="B26" s="104">
        <f>B15+B16-B19</f>
        <v>6991.54</v>
      </c>
      <c r="C26" s="104">
        <f t="shared" ref="C26:K26" si="5">C15+C16-C19</f>
        <v>0</v>
      </c>
      <c r="D26" s="104">
        <f t="shared" ref="D26:E26" si="6">D15+D16-D19</f>
        <v>17712.399999999998</v>
      </c>
      <c r="E26" s="104">
        <f t="shared" si="6"/>
        <v>18954.500000000004</v>
      </c>
      <c r="F26" s="104">
        <f t="shared" si="5"/>
        <v>0</v>
      </c>
      <c r="G26" s="104">
        <f t="shared" si="5"/>
        <v>0</v>
      </c>
      <c r="H26" s="104">
        <f t="shared" si="5"/>
        <v>0</v>
      </c>
      <c r="I26" s="104">
        <f t="shared" si="5"/>
        <v>0</v>
      </c>
      <c r="J26" s="104">
        <f t="shared" si="5"/>
        <v>0</v>
      </c>
      <c r="K26" s="104">
        <f t="shared" si="5"/>
        <v>0</v>
      </c>
    </row>
    <row r="27" spans="1:11" ht="14.4" x14ac:dyDescent="0.3">
      <c r="A27" s="102"/>
      <c r="B27" s="107"/>
      <c r="C27" s="107"/>
      <c r="D27" s="107"/>
      <c r="E27" s="107"/>
      <c r="F27" s="107"/>
      <c r="G27" s="107"/>
      <c r="H27" s="107"/>
      <c r="I27" s="107"/>
      <c r="J27" s="107"/>
      <c r="K27" s="107"/>
    </row>
    <row r="28" spans="1:11" ht="14.4" x14ac:dyDescent="0.3">
      <c r="A28" s="102" t="s">
        <v>160</v>
      </c>
      <c r="B28" s="121">
        <v>62.57</v>
      </c>
      <c r="C28" s="121"/>
      <c r="D28" s="133">
        <f>304742010/1000000</f>
        <v>304.74200999999999</v>
      </c>
      <c r="E28" s="133">
        <f>304742010/1000000</f>
        <v>304.74200999999999</v>
      </c>
      <c r="F28" s="121"/>
      <c r="G28" s="121"/>
      <c r="H28" s="121"/>
      <c r="I28" s="121"/>
      <c r="J28" s="122"/>
      <c r="K28" s="122"/>
    </row>
    <row r="29" spans="1:11" ht="14.4" x14ac:dyDescent="0.3">
      <c r="A29" s="108"/>
      <c r="B29" s="109"/>
      <c r="C29" s="109"/>
      <c r="D29" s="109"/>
      <c r="E29" s="109"/>
      <c r="F29" s="109"/>
      <c r="G29" s="109"/>
      <c r="H29" s="109"/>
      <c r="I29" s="109"/>
      <c r="J29" s="109"/>
      <c r="K29" s="109"/>
    </row>
    <row r="30" spans="1:11" ht="14.4" x14ac:dyDescent="0.3">
      <c r="A30" s="129" t="s">
        <v>161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1"/>
    </row>
    <row r="31" spans="1:11" ht="14.4" x14ac:dyDescent="0.3">
      <c r="A31" s="118" t="s">
        <v>162</v>
      </c>
      <c r="B31" s="113">
        <f>B37/B11</f>
        <v>-19.624664879356569</v>
      </c>
      <c r="C31" s="113" t="e">
        <f t="shared" ref="C31:K31" si="7">C37/C11</f>
        <v>#DIV/0!</v>
      </c>
      <c r="D31" s="113">
        <f t="shared" si="7"/>
        <v>6.741344195519348</v>
      </c>
      <c r="E31" s="113">
        <f t="shared" si="7"/>
        <v>14.069037656903765</v>
      </c>
      <c r="F31" s="113" t="e">
        <f t="shared" si="7"/>
        <v>#DIV/0!</v>
      </c>
      <c r="G31" s="113" t="e">
        <f t="shared" si="7"/>
        <v>#DIV/0!</v>
      </c>
      <c r="H31" s="113" t="e">
        <f t="shared" si="7"/>
        <v>#DIV/0!</v>
      </c>
      <c r="I31" s="113" t="e">
        <f t="shared" si="7"/>
        <v>#DIV/0!</v>
      </c>
      <c r="J31" s="113" t="e">
        <f t="shared" si="7"/>
        <v>#DIV/0!</v>
      </c>
      <c r="K31" s="113" t="e">
        <f t="shared" si="7"/>
        <v>#DIV/0!</v>
      </c>
    </row>
    <row r="32" spans="1:11" ht="14.4" x14ac:dyDescent="0.3">
      <c r="A32" s="102" t="s">
        <v>91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</row>
    <row r="33" spans="1:12" ht="14.4" x14ac:dyDescent="0.3">
      <c r="A33" s="102" t="s">
        <v>163</v>
      </c>
      <c r="B33" s="104">
        <f>B37/B39</f>
        <v>1.052514937034654</v>
      </c>
      <c r="C33" s="104" t="e">
        <f t="shared" ref="C33:K33" si="8">C37/C39</f>
        <v>#DIV/0!</v>
      </c>
      <c r="D33" s="104">
        <f t="shared" si="8"/>
        <v>0.71870042971143577</v>
      </c>
      <c r="E33" s="104">
        <f t="shared" si="8"/>
        <v>2.420058237141828</v>
      </c>
      <c r="F33" s="104" t="e">
        <f t="shared" si="8"/>
        <v>#DIV/0!</v>
      </c>
      <c r="G33" s="104" t="e">
        <f t="shared" si="8"/>
        <v>#DIV/0!</v>
      </c>
      <c r="H33" s="104" t="e">
        <f t="shared" si="8"/>
        <v>#DIV/0!</v>
      </c>
      <c r="I33" s="104" t="e">
        <f t="shared" si="8"/>
        <v>#DIV/0!</v>
      </c>
      <c r="J33" s="104" t="e">
        <f t="shared" si="8"/>
        <v>#DIV/0!</v>
      </c>
      <c r="K33" s="104" t="e">
        <f t="shared" si="8"/>
        <v>#DIV/0!</v>
      </c>
    </row>
    <row r="34" spans="1:12" ht="14.4" x14ac:dyDescent="0.3">
      <c r="A34" s="102" t="s">
        <v>130</v>
      </c>
      <c r="B34" s="104">
        <f>B26/B5</f>
        <v>215.52219482120839</v>
      </c>
      <c r="C34" s="104" t="e">
        <f t="shared" ref="C34:K34" si="9">C26/C5</f>
        <v>#DIV/0!</v>
      </c>
      <c r="D34" s="104">
        <f t="shared" si="9"/>
        <v>6.2451167054509549</v>
      </c>
      <c r="E34" s="104">
        <f t="shared" si="9"/>
        <v>4.9403132900669862</v>
      </c>
      <c r="F34" s="104" t="e">
        <f t="shared" si="9"/>
        <v>#DIV/0!</v>
      </c>
      <c r="G34" s="104" t="e">
        <f t="shared" si="9"/>
        <v>#DIV/0!</v>
      </c>
      <c r="H34" s="104" t="e">
        <f t="shared" si="9"/>
        <v>#DIV/0!</v>
      </c>
      <c r="I34" s="104" t="e">
        <f t="shared" si="9"/>
        <v>#DIV/0!</v>
      </c>
      <c r="J34" s="104" t="e">
        <f t="shared" si="9"/>
        <v>#DIV/0!</v>
      </c>
      <c r="K34" s="104" t="e">
        <f t="shared" si="9"/>
        <v>#DIV/0!</v>
      </c>
    </row>
    <row r="35" spans="1:12" ht="14.4" x14ac:dyDescent="0.3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09"/>
    </row>
    <row r="36" spans="1:12" ht="14.4" x14ac:dyDescent="0.3">
      <c r="A36" s="129" t="s">
        <v>164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1"/>
    </row>
    <row r="37" spans="1:12" ht="14.4" x14ac:dyDescent="0.3">
      <c r="A37" s="118" t="s">
        <v>165</v>
      </c>
      <c r="B37" s="123">
        <v>73.2</v>
      </c>
      <c r="C37" s="123"/>
      <c r="D37" s="123">
        <v>33.1</v>
      </c>
      <c r="E37" s="123">
        <v>134.5</v>
      </c>
      <c r="F37" s="123"/>
      <c r="G37" s="123"/>
      <c r="H37" s="123"/>
      <c r="I37" s="123"/>
      <c r="J37" s="123"/>
      <c r="K37" s="123"/>
    </row>
    <row r="38" spans="1:12" ht="14.4" x14ac:dyDescent="0.3">
      <c r="A38" s="102" t="s">
        <v>166</v>
      </c>
      <c r="B38" s="107">
        <f>B15</f>
        <v>4351.6000000000004</v>
      </c>
      <c r="C38" s="107">
        <f t="shared" ref="C38:K38" si="10">C15</f>
        <v>0</v>
      </c>
      <c r="D38" s="107">
        <f t="shared" si="10"/>
        <v>14035</v>
      </c>
      <c r="E38" s="107">
        <f t="shared" si="10"/>
        <v>16936.7</v>
      </c>
      <c r="F38" s="107">
        <f t="shared" si="10"/>
        <v>0</v>
      </c>
      <c r="G38" s="107">
        <f t="shared" si="10"/>
        <v>0</v>
      </c>
      <c r="H38" s="107">
        <f t="shared" si="10"/>
        <v>0</v>
      </c>
      <c r="I38" s="107">
        <f t="shared" si="10"/>
        <v>0</v>
      </c>
      <c r="J38" s="107">
        <f t="shared" si="10"/>
        <v>0</v>
      </c>
      <c r="K38" s="107">
        <f t="shared" si="10"/>
        <v>0</v>
      </c>
    </row>
    <row r="39" spans="1:12" ht="14.4" x14ac:dyDescent="0.3">
      <c r="A39" s="102" t="s">
        <v>127</v>
      </c>
      <c r="B39" s="104">
        <f>B38/B28</f>
        <v>69.547706568643122</v>
      </c>
      <c r="C39" s="104" t="e">
        <f t="shared" ref="C39:K39" si="11">C38/C28</f>
        <v>#DIV/0!</v>
      </c>
      <c r="D39" s="104">
        <f t="shared" si="11"/>
        <v>46.055350228870644</v>
      </c>
      <c r="E39" s="104">
        <f t="shared" si="11"/>
        <v>55.577174935611936</v>
      </c>
      <c r="F39" s="104" t="e">
        <f t="shared" si="11"/>
        <v>#DIV/0!</v>
      </c>
      <c r="G39" s="104" t="e">
        <f t="shared" si="11"/>
        <v>#DIV/0!</v>
      </c>
      <c r="H39" s="104" t="e">
        <f t="shared" si="11"/>
        <v>#DIV/0!</v>
      </c>
      <c r="I39" s="104" t="e">
        <f t="shared" si="11"/>
        <v>#DIV/0!</v>
      </c>
      <c r="J39" s="104" t="e">
        <f t="shared" si="11"/>
        <v>#DIV/0!</v>
      </c>
      <c r="K39" s="104" t="e">
        <f t="shared" si="11"/>
        <v>#DIV/0!</v>
      </c>
    </row>
    <row r="40" spans="1:12" ht="14.4" x14ac:dyDescent="0.3">
      <c r="A40" s="102" t="s">
        <v>126</v>
      </c>
      <c r="B40" s="106">
        <f>B8/B15</f>
        <v>-3.8583509513742068E-3</v>
      </c>
      <c r="C40" s="106" t="e">
        <f t="shared" ref="C40:K40" si="12">C8/C15</f>
        <v>#DIV/0!</v>
      </c>
      <c r="D40" s="106">
        <f>D8/D15</f>
        <v>0.10794442465265408</v>
      </c>
      <c r="E40" s="106">
        <f>E8/E15</f>
        <v>0.17207011991710311</v>
      </c>
      <c r="F40" s="106" t="e">
        <f t="shared" si="12"/>
        <v>#DIV/0!</v>
      </c>
      <c r="G40" s="106" t="e">
        <f t="shared" si="12"/>
        <v>#DIV/0!</v>
      </c>
      <c r="H40" s="106" t="e">
        <f t="shared" si="12"/>
        <v>#DIV/0!</v>
      </c>
      <c r="I40" s="106" t="e">
        <f t="shared" si="12"/>
        <v>#DIV/0!</v>
      </c>
      <c r="J40" s="106" t="e">
        <f t="shared" si="12"/>
        <v>#DIV/0!</v>
      </c>
      <c r="K40" s="106" t="e">
        <f t="shared" si="12"/>
        <v>#DIV/0!</v>
      </c>
    </row>
    <row r="41" spans="1:12" ht="14.4" x14ac:dyDescent="0.3">
      <c r="A41" s="102" t="s">
        <v>125</v>
      </c>
      <c r="B41" s="106">
        <f>B5/(B15+B16)</f>
        <v>4.6046514928921719E-3</v>
      </c>
      <c r="C41" s="106" t="e">
        <f t="shared" ref="C41:K41" si="13">C5/(C15+C16)</f>
        <v>#DIV/0!</v>
      </c>
      <c r="D41" s="106">
        <f t="shared" si="13"/>
        <v>0.15005475871774659</v>
      </c>
      <c r="E41" s="106">
        <f t="shared" si="13"/>
        <v>0.18623582006960723</v>
      </c>
      <c r="F41" s="106" t="e">
        <f t="shared" si="13"/>
        <v>#DIV/0!</v>
      </c>
      <c r="G41" s="106" t="e">
        <f t="shared" si="13"/>
        <v>#DIV/0!</v>
      </c>
      <c r="H41" s="106" t="e">
        <f t="shared" si="13"/>
        <v>#DIV/0!</v>
      </c>
      <c r="I41" s="106" t="e">
        <f t="shared" si="13"/>
        <v>#DIV/0!</v>
      </c>
      <c r="J41" s="106" t="e">
        <f t="shared" si="13"/>
        <v>#DIV/0!</v>
      </c>
      <c r="K41" s="106" t="e">
        <f t="shared" si="13"/>
        <v>#DIV/0!</v>
      </c>
    </row>
    <row r="42" spans="1:12" ht="14.4" x14ac:dyDescent="0.3">
      <c r="A42" s="102" t="s">
        <v>167</v>
      </c>
      <c r="B42" s="132">
        <v>0.05</v>
      </c>
      <c r="C42" s="107"/>
      <c r="D42" s="124"/>
      <c r="E42" s="124"/>
      <c r="F42" s="107"/>
      <c r="G42" s="107"/>
      <c r="H42" s="107"/>
      <c r="I42" s="107"/>
      <c r="J42" s="114"/>
      <c r="K42" s="114"/>
    </row>
    <row r="43" spans="1:12" ht="14.4" x14ac:dyDescent="0.3">
      <c r="A43" s="102" t="s">
        <v>123</v>
      </c>
      <c r="B43" s="107">
        <v>479.01</v>
      </c>
      <c r="C43" s="107"/>
      <c r="D43" s="107">
        <v>57</v>
      </c>
      <c r="E43" s="107">
        <v>56</v>
      </c>
      <c r="F43" s="107"/>
      <c r="G43" s="107"/>
      <c r="H43" s="107"/>
      <c r="I43" s="107"/>
      <c r="J43" s="107"/>
      <c r="K43" s="107"/>
      <c r="L43" s="98" t="s">
        <v>168</v>
      </c>
    </row>
    <row r="44" spans="1:12" ht="14.4" x14ac:dyDescent="0.3">
      <c r="A44" s="102" t="s">
        <v>94</v>
      </c>
      <c r="B44" s="107">
        <v>1193.3499999999999</v>
      </c>
      <c r="C44" s="107"/>
      <c r="D44" s="107">
        <v>209</v>
      </c>
      <c r="E44" s="107">
        <v>196</v>
      </c>
      <c r="F44" s="107"/>
      <c r="G44" s="107"/>
      <c r="H44" s="107"/>
      <c r="I44" s="107"/>
      <c r="J44" s="107"/>
      <c r="K44" s="107"/>
      <c r="L44" s="98" t="s">
        <v>168</v>
      </c>
    </row>
    <row r="45" spans="1:12" ht="14.4" x14ac:dyDescent="0.3">
      <c r="A45" s="102" t="s">
        <v>122</v>
      </c>
      <c r="B45" s="107">
        <v>182.53</v>
      </c>
      <c r="C45" s="107"/>
      <c r="D45" s="107">
        <v>75</v>
      </c>
      <c r="E45" s="107">
        <v>72</v>
      </c>
      <c r="F45" s="107"/>
      <c r="G45" s="107"/>
      <c r="H45" s="107"/>
      <c r="I45" s="107"/>
      <c r="J45" s="107"/>
      <c r="K45" s="107"/>
      <c r="L45" s="98" t="s">
        <v>168</v>
      </c>
    </row>
    <row r="46" spans="1:12" ht="14.4" x14ac:dyDescent="0.3">
      <c r="A46" s="102" t="s">
        <v>121</v>
      </c>
      <c r="B46" s="107">
        <f>B43+B44-B45</f>
        <v>1489.83</v>
      </c>
      <c r="C46" s="107">
        <f t="shared" ref="C46:K46" si="14">C43+C44-C45</f>
        <v>0</v>
      </c>
      <c r="D46" s="107">
        <f t="shared" si="14"/>
        <v>191</v>
      </c>
      <c r="E46" s="107">
        <f t="shared" si="14"/>
        <v>180</v>
      </c>
      <c r="F46" s="107">
        <f t="shared" si="14"/>
        <v>0</v>
      </c>
      <c r="G46" s="107">
        <f t="shared" si="14"/>
        <v>0</v>
      </c>
      <c r="H46" s="107">
        <f t="shared" si="14"/>
        <v>0</v>
      </c>
      <c r="I46" s="107">
        <f t="shared" si="14"/>
        <v>0</v>
      </c>
      <c r="J46" s="107">
        <f t="shared" si="14"/>
        <v>0</v>
      </c>
      <c r="K46" s="107">
        <f t="shared" si="14"/>
        <v>0</v>
      </c>
    </row>
    <row r="47" spans="1:12" ht="14.4" x14ac:dyDescent="0.3">
      <c r="A47" s="102" t="s">
        <v>120</v>
      </c>
      <c r="B47" s="104">
        <f>B16/B25</f>
        <v>0.58807359800739023</v>
      </c>
      <c r="C47" s="104" t="e">
        <f t="shared" ref="C47:K47" si="15">C16/C25</f>
        <v>#DIV/0!</v>
      </c>
      <c r="D47" s="104">
        <f t="shared" si="15"/>
        <v>0.48241489446153163</v>
      </c>
      <c r="E47" s="104">
        <f t="shared" si="15"/>
        <v>8.940709111380836E-2</v>
      </c>
      <c r="F47" s="104" t="e">
        <f t="shared" si="15"/>
        <v>#DIV/0!</v>
      </c>
      <c r="G47" s="104" t="e">
        <f t="shared" si="15"/>
        <v>#DIV/0!</v>
      </c>
      <c r="H47" s="104" t="e">
        <f t="shared" si="15"/>
        <v>#DIV/0!</v>
      </c>
      <c r="I47" s="104" t="e">
        <f t="shared" si="15"/>
        <v>#DIV/0!</v>
      </c>
      <c r="J47" s="104" t="e">
        <f t="shared" si="15"/>
        <v>#DIV/0!</v>
      </c>
      <c r="K47" s="104" t="e">
        <f t="shared" si="15"/>
        <v>#DIV/0!</v>
      </c>
    </row>
    <row r="48" spans="1:12" ht="14.4" x14ac:dyDescent="0.3">
      <c r="A48" s="102" t="s">
        <v>119</v>
      </c>
      <c r="B48" s="104">
        <f>(B16-B19)/B25</f>
        <v>0.57639050820458126</v>
      </c>
      <c r="C48" s="104" t="e">
        <f t="shared" ref="C48:K48" si="16">(C16-C19)/C25</f>
        <v>#DIV/0!</v>
      </c>
      <c r="D48" s="104">
        <f t="shared" si="16"/>
        <v>0.36456968268075801</v>
      </c>
      <c r="E48" s="104">
        <f t="shared" si="16"/>
        <v>4.9229282445408099E-2</v>
      </c>
      <c r="F48" s="104" t="e">
        <f t="shared" si="16"/>
        <v>#DIV/0!</v>
      </c>
      <c r="G48" s="104" t="e">
        <f t="shared" si="16"/>
        <v>#DIV/0!</v>
      </c>
      <c r="H48" s="104" t="e">
        <f t="shared" si="16"/>
        <v>#DIV/0!</v>
      </c>
      <c r="I48" s="104" t="e">
        <f t="shared" si="16"/>
        <v>#DIV/0!</v>
      </c>
      <c r="J48" s="104" t="e">
        <f t="shared" si="16"/>
        <v>#DIV/0!</v>
      </c>
      <c r="K48" s="104" t="e">
        <f t="shared" si="16"/>
        <v>#DIV/0!</v>
      </c>
    </row>
    <row r="49" spans="1:11" ht="14.4" x14ac:dyDescent="0.3">
      <c r="A49" s="102" t="s">
        <v>115</v>
      </c>
      <c r="B49" s="104">
        <f>B5/B20</f>
        <v>0.95215732315820367</v>
      </c>
      <c r="C49" s="104" t="e">
        <f t="shared" ref="C49:K49" si="17">C5/C20</f>
        <v>#DIV/0!</v>
      </c>
      <c r="D49" s="104">
        <f t="shared" si="17"/>
        <v>4.9845342706502631</v>
      </c>
      <c r="E49" s="104">
        <f t="shared" si="17"/>
        <v>9.0360339142722559</v>
      </c>
      <c r="F49" s="104" t="e">
        <f t="shared" si="17"/>
        <v>#DIV/0!</v>
      </c>
      <c r="G49" s="104" t="e">
        <f t="shared" si="17"/>
        <v>#DIV/0!</v>
      </c>
      <c r="H49" s="104" t="e">
        <f t="shared" si="17"/>
        <v>#DIV/0!</v>
      </c>
      <c r="I49" s="104" t="e">
        <f t="shared" si="17"/>
        <v>#DIV/0!</v>
      </c>
      <c r="J49" s="104" t="e">
        <f t="shared" si="17"/>
        <v>#DIV/0!</v>
      </c>
      <c r="K49" s="104" t="e">
        <f t="shared" si="17"/>
        <v>#DIV/0!</v>
      </c>
    </row>
    <row r="50" spans="1:11" ht="15" thickBot="1" x14ac:dyDescent="0.35">
      <c r="A50" s="125" t="s">
        <v>118</v>
      </c>
      <c r="B50" s="104">
        <f>B20/B16</f>
        <v>1.264920455178303E-2</v>
      </c>
      <c r="C50" s="104" t="e">
        <f t="shared" ref="C50:K50" si="18">C20/C16</f>
        <v>#DIV/0!</v>
      </c>
      <c r="D50" s="104">
        <f t="shared" si="18"/>
        <v>0.11693142352191693</v>
      </c>
      <c r="E50" s="104">
        <f t="shared" si="18"/>
        <v>0.11586530589968891</v>
      </c>
      <c r="F50" s="104" t="e">
        <f t="shared" si="18"/>
        <v>#DIV/0!</v>
      </c>
      <c r="G50" s="104" t="e">
        <f t="shared" si="18"/>
        <v>#DIV/0!</v>
      </c>
      <c r="H50" s="104" t="e">
        <f t="shared" si="18"/>
        <v>#DIV/0!</v>
      </c>
      <c r="I50" s="104" t="e">
        <f t="shared" si="18"/>
        <v>#DIV/0!</v>
      </c>
      <c r="J50" s="104" t="e">
        <f t="shared" si="18"/>
        <v>#DIV/0!</v>
      </c>
      <c r="K50" s="104" t="e">
        <f t="shared" si="18"/>
        <v>#DIV/0!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Peer Analysis</vt:lpstr>
      <vt:lpstr>Consol</vt:lpstr>
      <vt:lpstr>Peer Sheet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nisaraayush1107@outlook.com</cp:lastModifiedBy>
  <cp:lastPrinted>2021-05-19T08:13:17Z</cp:lastPrinted>
  <dcterms:created xsi:type="dcterms:W3CDTF">2021-01-27T07:46:46Z</dcterms:created>
  <dcterms:modified xsi:type="dcterms:W3CDTF">2025-02-20T17:50:36Z</dcterms:modified>
</cp:coreProperties>
</file>