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Yuvraj Laptop\summary sheet\1 Q2-FY25\Purva\"/>
    </mc:Choice>
  </mc:AlternateContent>
  <bookViews>
    <workbookView xWindow="0" yWindow="0" windowWidth="23040" windowHeight="907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5" i="1" l="1"/>
  <c r="T85" i="1"/>
  <c r="U85" i="1"/>
  <c r="R85" i="1"/>
  <c r="F50" i="1"/>
  <c r="G50" i="1"/>
  <c r="H50" i="1"/>
  <c r="J50" i="1"/>
  <c r="I50" i="1"/>
  <c r="R80" i="1" l="1"/>
  <c r="R79" i="1"/>
  <c r="R78" i="1"/>
  <c r="S76" i="1"/>
  <c r="T76" i="1"/>
  <c r="U76" i="1"/>
  <c r="V76" i="1"/>
  <c r="R76" i="1"/>
  <c r="S75" i="1"/>
  <c r="T75" i="1"/>
  <c r="U75" i="1"/>
  <c r="V75" i="1"/>
  <c r="R75" i="1"/>
  <c r="R74" i="1"/>
  <c r="R73" i="1"/>
  <c r="U67" i="1"/>
  <c r="V67" i="1"/>
  <c r="V70" i="1" s="1"/>
  <c r="R70" i="1"/>
  <c r="U77" i="1"/>
  <c r="F57" i="1"/>
  <c r="F56" i="1"/>
  <c r="G55" i="1"/>
  <c r="H55" i="1"/>
  <c r="I55" i="1"/>
  <c r="J55" i="1"/>
  <c r="F55" i="1"/>
  <c r="F58" i="1" s="1"/>
  <c r="R72" i="1" s="1"/>
  <c r="S68" i="1"/>
  <c r="S71" i="1" s="1"/>
  <c r="T68" i="1"/>
  <c r="T71" i="1" s="1"/>
  <c r="U68" i="1"/>
  <c r="V68" i="1"/>
  <c r="R68" i="1"/>
  <c r="R71" i="1" s="1"/>
  <c r="R67" i="1"/>
  <c r="S14" i="1"/>
  <c r="R10" i="1"/>
  <c r="S10" i="1"/>
  <c r="S6" i="1"/>
  <c r="T6" i="1"/>
  <c r="T14" i="1"/>
  <c r="T61" i="1" s="1"/>
  <c r="U11" i="1"/>
  <c r="U10" i="1"/>
  <c r="I8" i="1"/>
  <c r="I32" i="1"/>
  <c r="H31" i="1"/>
  <c r="I31" i="1"/>
  <c r="G31" i="1"/>
  <c r="G24" i="1"/>
  <c r="G7" i="1"/>
  <c r="F24" i="1"/>
  <c r="F30" i="1"/>
  <c r="J46" i="1"/>
  <c r="G45" i="1"/>
  <c r="H45" i="1"/>
  <c r="I45" i="1"/>
  <c r="J45" i="1"/>
  <c r="G41" i="1"/>
  <c r="F45" i="1"/>
  <c r="F46" i="1" s="1"/>
  <c r="I18" i="1"/>
  <c r="J31" i="1"/>
  <c r="J30" i="1"/>
  <c r="I24" i="1"/>
  <c r="J24" i="1"/>
  <c r="G28" i="1"/>
  <c r="H28" i="1"/>
  <c r="I28" i="1"/>
  <c r="J28" i="1"/>
  <c r="R46" i="1"/>
  <c r="G46" i="1"/>
  <c r="H41" i="1" s="1"/>
  <c r="H46" i="1" s="1"/>
  <c r="I41" i="1" s="1"/>
  <c r="I46" i="1" s="1"/>
  <c r="J41" i="1" s="1"/>
  <c r="F26" i="1"/>
  <c r="F28" i="1" s="1"/>
  <c r="V14" i="1"/>
  <c r="U14" i="1"/>
  <c r="U43" i="1"/>
  <c r="V43" i="1"/>
  <c r="T43" i="1"/>
  <c r="S43" i="1"/>
  <c r="R43" i="1"/>
  <c r="S30" i="1"/>
  <c r="R14" i="1"/>
  <c r="G57" i="1"/>
  <c r="H57" i="1"/>
  <c r="I57" i="1"/>
  <c r="J57" i="1"/>
  <c r="J58" i="1"/>
  <c r="F9" i="1"/>
  <c r="F6" i="1"/>
  <c r="G6" i="1"/>
  <c r="H6" i="1"/>
  <c r="I6" i="1"/>
  <c r="U78" i="1" s="1"/>
  <c r="J6" i="1"/>
  <c r="E34" i="1"/>
  <c r="B6" i="1"/>
  <c r="C6" i="1"/>
  <c r="D6" i="1"/>
  <c r="E6" i="1"/>
  <c r="B9" i="1"/>
  <c r="C9" i="1"/>
  <c r="D9" i="1"/>
  <c r="P79" i="1" s="1"/>
  <c r="E9" i="1"/>
  <c r="Q80" i="1" s="1"/>
  <c r="G9" i="1"/>
  <c r="S80" i="1" s="1"/>
  <c r="I9" i="1"/>
  <c r="U80" i="1" s="1"/>
  <c r="H9" i="1"/>
  <c r="T80" i="1" s="1"/>
  <c r="J9" i="1"/>
  <c r="D28" i="1"/>
  <c r="E28" i="1"/>
  <c r="S67" i="1"/>
  <c r="S70" i="1" s="1"/>
  <c r="T67" i="1"/>
  <c r="T70" i="1" s="1"/>
  <c r="B45" i="1"/>
  <c r="B46" i="1" s="1"/>
  <c r="C45" i="1"/>
  <c r="C46" i="1" s="1"/>
  <c r="D45" i="1"/>
  <c r="D46" i="1" s="1"/>
  <c r="E45" i="1"/>
  <c r="E46" i="1" s="1"/>
  <c r="B49" i="1"/>
  <c r="B51" i="1" s="1"/>
  <c r="C49" i="1"/>
  <c r="C51" i="1" s="1"/>
  <c r="D49" i="1"/>
  <c r="D51" i="1" s="1"/>
  <c r="E49" i="1"/>
  <c r="E51" i="1" s="1"/>
  <c r="F49" i="1"/>
  <c r="F51" i="1" s="1"/>
  <c r="G49" i="1"/>
  <c r="H49" i="1"/>
  <c r="I49" i="1"/>
  <c r="J49" i="1"/>
  <c r="C50" i="1"/>
  <c r="D50" i="1"/>
  <c r="E50" i="1"/>
  <c r="B55" i="1"/>
  <c r="C55" i="1"/>
  <c r="D55" i="1"/>
  <c r="E55" i="1"/>
  <c r="B57" i="1"/>
  <c r="C57" i="1"/>
  <c r="D57" i="1"/>
  <c r="E57" i="1"/>
  <c r="U84" i="1"/>
  <c r="R84" i="1"/>
  <c r="Q84" i="1"/>
  <c r="P84" i="1"/>
  <c r="O80" i="1"/>
  <c r="N80" i="1"/>
  <c r="O79" i="1"/>
  <c r="N79" i="1"/>
  <c r="T77" i="1"/>
  <c r="S77" i="1"/>
  <c r="R77" i="1"/>
  <c r="Q77" i="1"/>
  <c r="P77" i="1"/>
  <c r="O77" i="1"/>
  <c r="N77" i="1"/>
  <c r="U70" i="1"/>
  <c r="Q67" i="1"/>
  <c r="Q70" i="1" s="1"/>
  <c r="P67" i="1"/>
  <c r="P70" i="1" s="1"/>
  <c r="O67" i="1"/>
  <c r="O70" i="1" s="1"/>
  <c r="N67" i="1"/>
  <c r="N70" i="1" s="1"/>
  <c r="Q43" i="1"/>
  <c r="P43" i="1"/>
  <c r="O43" i="1"/>
  <c r="N43" i="1"/>
  <c r="V30" i="1"/>
  <c r="U30" i="1"/>
  <c r="T30" i="1"/>
  <c r="R30" i="1"/>
  <c r="R61" i="1" s="1"/>
  <c r="Q30" i="1"/>
  <c r="Q61" i="1" s="1"/>
  <c r="P30" i="1"/>
  <c r="P61" i="1" s="1"/>
  <c r="O30" i="1"/>
  <c r="O61" i="1" s="1"/>
  <c r="N30" i="1"/>
  <c r="N61" i="1" s="1"/>
  <c r="Q14" i="1"/>
  <c r="P14" i="1"/>
  <c r="V10" i="1"/>
  <c r="J56" i="1" s="1"/>
  <c r="I56" i="1"/>
  <c r="T10" i="1"/>
  <c r="H56" i="1" s="1"/>
  <c r="S83" i="1"/>
  <c r="Q10" i="1"/>
  <c r="E56" i="1" s="1"/>
  <c r="P10" i="1"/>
  <c r="D56" i="1" s="1"/>
  <c r="O10" i="1"/>
  <c r="O83" i="1" s="1"/>
  <c r="N10" i="1"/>
  <c r="N83" i="1" s="1"/>
  <c r="V6" i="1"/>
  <c r="V11" i="1" s="1"/>
  <c r="U6" i="1"/>
  <c r="R6" i="1"/>
  <c r="R11" i="1" s="1"/>
  <c r="Q6" i="1"/>
  <c r="P6" i="1"/>
  <c r="O6" i="1"/>
  <c r="N6" i="1"/>
  <c r="T11" i="1" l="1"/>
  <c r="V51" i="1"/>
  <c r="F16" i="1"/>
  <c r="F19" i="1" s="1"/>
  <c r="H58" i="1"/>
  <c r="G56" i="1"/>
  <c r="G58" i="1" s="1"/>
  <c r="S62" i="1"/>
  <c r="R62" i="1"/>
  <c r="I58" i="1"/>
  <c r="C7" i="1"/>
  <c r="G51" i="1"/>
  <c r="C16" i="1"/>
  <c r="B16" i="1"/>
  <c r="B24" i="1" s="1"/>
  <c r="B30" i="1" s="1"/>
  <c r="E7" i="1"/>
  <c r="I16" i="1"/>
  <c r="J16" i="1"/>
  <c r="I51" i="1"/>
  <c r="H16" i="1"/>
  <c r="H51" i="1"/>
  <c r="I7" i="1"/>
  <c r="G16" i="1"/>
  <c r="H7" i="1"/>
  <c r="E58" i="1"/>
  <c r="D58" i="1"/>
  <c r="J51" i="1"/>
  <c r="E16" i="1"/>
  <c r="C56" i="1"/>
  <c r="C58" i="1" s="1"/>
  <c r="D16" i="1"/>
  <c r="B56" i="1"/>
  <c r="B58" i="1" s="1"/>
  <c r="U61" i="1"/>
  <c r="R51" i="1"/>
  <c r="S51" i="1"/>
  <c r="V61" i="1"/>
  <c r="N51" i="1"/>
  <c r="O51" i="1"/>
  <c r="R83" i="1"/>
  <c r="P80" i="1"/>
  <c r="U79" i="1"/>
  <c r="U81" i="1" s="1"/>
  <c r="Q79" i="1"/>
  <c r="U62" i="1"/>
  <c r="P11" i="1"/>
  <c r="P13" i="1" s="1"/>
  <c r="T79" i="1"/>
  <c r="S79" i="1"/>
  <c r="P51" i="1"/>
  <c r="P78" i="1"/>
  <c r="N62" i="1"/>
  <c r="N11" i="1"/>
  <c r="N75" i="1"/>
  <c r="O73" i="1"/>
  <c r="O11" i="1"/>
  <c r="T83" i="1"/>
  <c r="U83" i="1"/>
  <c r="S11" i="1"/>
  <c r="Q78" i="1"/>
  <c r="U71" i="1"/>
  <c r="O75" i="1"/>
  <c r="O76" i="1"/>
  <c r="P75" i="1"/>
  <c r="P83" i="1"/>
  <c r="P76" i="1"/>
  <c r="Q62" i="1"/>
  <c r="Q51" i="1"/>
  <c r="O62" i="1"/>
  <c r="Q75" i="1"/>
  <c r="Q83" i="1"/>
  <c r="Q76" i="1"/>
  <c r="P62" i="1"/>
  <c r="N73" i="1"/>
  <c r="V62" i="1"/>
  <c r="U51" i="1"/>
  <c r="P68" i="1"/>
  <c r="P71" i="1" s="1"/>
  <c r="S84" i="1"/>
  <c r="Q11" i="1"/>
  <c r="Q13" i="1" s="1"/>
  <c r="Q68" i="1"/>
  <c r="Q71" i="1" s="1"/>
  <c r="V71" i="1"/>
  <c r="T84" i="1"/>
  <c r="T62" i="1"/>
  <c r="N76" i="1"/>
  <c r="N78" i="1"/>
  <c r="N81" i="1" s="1"/>
  <c r="O78" i="1"/>
  <c r="O81" i="1" s="1"/>
  <c r="F29" i="1" l="1"/>
  <c r="J19" i="1"/>
  <c r="F31" i="1"/>
  <c r="F34" i="1"/>
  <c r="H24" i="1"/>
  <c r="H30" i="1" s="1"/>
  <c r="H34" i="1" s="1"/>
  <c r="B19" i="1"/>
  <c r="C17" i="1"/>
  <c r="H19" i="1"/>
  <c r="C24" i="1"/>
  <c r="C30" i="1" s="1"/>
  <c r="C19" i="1"/>
  <c r="I30" i="1"/>
  <c r="I34" i="1" s="1"/>
  <c r="J34" i="1"/>
  <c r="I19" i="1"/>
  <c r="I17" i="1"/>
  <c r="E24" i="1"/>
  <c r="E17" i="1"/>
  <c r="E19" i="1"/>
  <c r="G17" i="1"/>
  <c r="G19" i="1"/>
  <c r="D24" i="1"/>
  <c r="D19" i="1"/>
  <c r="H17" i="1"/>
  <c r="Q82" i="1"/>
  <c r="O82" i="1"/>
  <c r="Q81" i="1"/>
  <c r="R82" i="1"/>
  <c r="P82" i="1"/>
  <c r="P72" i="1"/>
  <c r="N82" i="1"/>
  <c r="U72" i="1"/>
  <c r="U74" i="1"/>
  <c r="O72" i="1"/>
  <c r="Q72" i="1"/>
  <c r="T51" i="1"/>
  <c r="T82" i="1" s="1"/>
  <c r="P81" i="1"/>
  <c r="P74" i="1"/>
  <c r="O74" i="1"/>
  <c r="S82" i="1"/>
  <c r="S78" i="1"/>
  <c r="S81" i="1" s="1"/>
  <c r="N74" i="1"/>
  <c r="R81" i="1"/>
  <c r="T78" i="1"/>
  <c r="T81" i="1" s="1"/>
  <c r="Q74" i="1"/>
  <c r="N72" i="1"/>
  <c r="H29" i="1" l="1"/>
  <c r="J29" i="1"/>
  <c r="I29" i="1"/>
  <c r="D30" i="1"/>
  <c r="D29" i="1"/>
  <c r="E30" i="1"/>
  <c r="E29" i="1"/>
  <c r="G30" i="1"/>
  <c r="G34" i="1" s="1"/>
  <c r="G29" i="1"/>
  <c r="U82" i="1"/>
  <c r="T74" i="1"/>
  <c r="S74" i="1"/>
  <c r="S72" i="1"/>
  <c r="T72" i="1"/>
  <c r="E31" i="1" l="1"/>
  <c r="D31" i="1"/>
  <c r="P73" i="1"/>
  <c r="U73" i="1"/>
  <c r="Q73" i="1"/>
  <c r="T73" i="1" l="1"/>
  <c r="S73" i="1"/>
  <c r="S61" i="1"/>
</calcChain>
</file>

<file path=xl/comments1.xml><?xml version="1.0" encoding="utf-8"?>
<comments xmlns="http://schemas.openxmlformats.org/spreadsheetml/2006/main">
  <authors>
    <author/>
  </authors>
  <commentList>
    <comment ref="A30" authorId="0" shapeId="0">
      <text>
        <r>
          <rPr>
            <sz val="11"/>
            <color theme="1"/>
            <rFont val="Calibri"/>
            <family val="2"/>
            <scheme val="minor"/>
          </rPr>
          <t>======
ID#AAABXal4HSA
Suyash    (2024-11-05 16:48:09)
Please check this</t>
        </r>
      </text>
    </comment>
    <comment ref="Q46" authorId="0" shapeId="0">
      <text>
        <r>
          <rPr>
            <sz val="11"/>
            <color theme="1"/>
            <rFont val="Calibri"/>
            <family val="2"/>
            <scheme val="minor"/>
          </rPr>
          <t>======
ID#AAABXal4HRo
Suyash    (2024-11-05 16:48:09)
Old Format</t>
        </r>
      </text>
    </comment>
  </commentList>
</comments>
</file>

<file path=xl/sharedStrings.xml><?xml version="1.0" encoding="utf-8"?>
<sst xmlns="http://schemas.openxmlformats.org/spreadsheetml/2006/main" count="188" uniqueCount="137">
  <si>
    <t>Income Statement</t>
  </si>
  <si>
    <t>Balance Sheet</t>
  </si>
  <si>
    <t>Y/E, Mar (Rs. Cr)</t>
  </si>
  <si>
    <t>FY14</t>
  </si>
  <si>
    <t>FY15</t>
  </si>
  <si>
    <t>FY16</t>
  </si>
  <si>
    <t>FY17</t>
  </si>
  <si>
    <t>FY21</t>
  </si>
  <si>
    <t>FY22</t>
  </si>
  <si>
    <t>FY23</t>
  </si>
  <si>
    <t>FY 24</t>
  </si>
  <si>
    <t>H1FY25</t>
  </si>
  <si>
    <t>FY24</t>
  </si>
  <si>
    <t>Revenue from Operations</t>
  </si>
  <si>
    <t>Equity Share Capital</t>
  </si>
  <si>
    <t>Other Income</t>
  </si>
  <si>
    <t>Other Equity</t>
  </si>
  <si>
    <t>Net Sales</t>
  </si>
  <si>
    <t>Networth/Shareholders Fund/ Book Value</t>
  </si>
  <si>
    <t>Growth (%)</t>
  </si>
  <si>
    <t>NA</t>
  </si>
  <si>
    <t>Minority Interest</t>
  </si>
  <si>
    <t>CAGR (%) - 3 Years</t>
  </si>
  <si>
    <t>Long Term Debt</t>
  </si>
  <si>
    <t>Expenditure</t>
  </si>
  <si>
    <t>Short Term Debt</t>
  </si>
  <si>
    <t>Loans</t>
  </si>
  <si>
    <t>Capital Employed</t>
  </si>
  <si>
    <t>-</t>
  </si>
  <si>
    <t>NON- CURRENT ASSETS</t>
  </si>
  <si>
    <t>Property, Palnt and Equipment</t>
  </si>
  <si>
    <t>Capital WIP</t>
  </si>
  <si>
    <t>EBITDA</t>
  </si>
  <si>
    <t>Investment Property</t>
  </si>
  <si>
    <t>Investment Property Under Development</t>
  </si>
  <si>
    <t>Intangible Assets</t>
  </si>
  <si>
    <t>EBITDA margin (%)</t>
  </si>
  <si>
    <t>Intangible Assets Under Development</t>
  </si>
  <si>
    <t>Depreciation and amortisation cost</t>
  </si>
  <si>
    <t>Investment accounted for using equity method</t>
  </si>
  <si>
    <t>Finance Cost</t>
  </si>
  <si>
    <t>Financial Assets</t>
  </si>
  <si>
    <t>Excp Item (share of profit to JV)</t>
  </si>
  <si>
    <t>a) Investment</t>
  </si>
  <si>
    <t>Extraordinary Items</t>
  </si>
  <si>
    <t>b) Loans</t>
  </si>
  <si>
    <t>PBT</t>
  </si>
  <si>
    <t>c) Other Financial Assets</t>
  </si>
  <si>
    <t>Current Tax</t>
  </si>
  <si>
    <t>Other Non-Current assets</t>
  </si>
  <si>
    <t>MAT Credit recognised</t>
  </si>
  <si>
    <t>Defferred tax assets (net)</t>
  </si>
  <si>
    <t>Deferred Tax</t>
  </si>
  <si>
    <t>Total Tax Expense</t>
  </si>
  <si>
    <t>Effective tax rate (%)</t>
  </si>
  <si>
    <t>CURRENT ASSETS, LOANS &amp; ADVANCES</t>
  </si>
  <si>
    <t>Inventories</t>
  </si>
  <si>
    <t>PAT margin (%)</t>
  </si>
  <si>
    <t>a) Trade Receivables</t>
  </si>
  <si>
    <t>b) Cash &amp; Cash Equivalents</t>
  </si>
  <si>
    <t>c) Bank Bal other than above</t>
  </si>
  <si>
    <t>d) Loans</t>
  </si>
  <si>
    <t>e) Other Current Financial Assets</t>
  </si>
  <si>
    <t>(f) Current Investment</t>
  </si>
  <si>
    <t>Other Current Assets</t>
  </si>
  <si>
    <t>Profit for the year</t>
  </si>
  <si>
    <t>Assets classified as held for sale</t>
  </si>
  <si>
    <t>CURRENT LIABILITIES &amp; PROVISIONS</t>
  </si>
  <si>
    <t>Total other comprehensive income for the year (net of tax)</t>
  </si>
  <si>
    <t>Financial Liabilities</t>
  </si>
  <si>
    <t>Total comprehensive income for the year</t>
  </si>
  <si>
    <t>(i) Lease liabilities</t>
  </si>
  <si>
    <t>(ii) Trade Payables</t>
  </si>
  <si>
    <t>EPS</t>
  </si>
  <si>
    <t>(iii) Other financial liabilities</t>
  </si>
  <si>
    <t>Provisions</t>
  </si>
  <si>
    <t>Other current liabilities</t>
  </si>
  <si>
    <t>NET CURRENT ASSETS</t>
  </si>
  <si>
    <t>Cash Flow</t>
  </si>
  <si>
    <t>Y/E, Mar (Rs. Cr.)</t>
  </si>
  <si>
    <t>Long Term Provisions</t>
  </si>
  <si>
    <t>Cash and Cash Equivalents at Beginning of the year</t>
  </si>
  <si>
    <t>Deferred Tax Liability (Net)</t>
  </si>
  <si>
    <t>Cash Flow From Operating Activities</t>
  </si>
  <si>
    <t>Other Non Current Liability</t>
  </si>
  <si>
    <t>Cash Flow from Investing Activities</t>
  </si>
  <si>
    <t>Other Financial Liabilities</t>
  </si>
  <si>
    <t>Cash Flow From Financing Activities</t>
  </si>
  <si>
    <t>Lease Liability</t>
  </si>
  <si>
    <t>Net Inc./(Dec.) in Cash and Cash Equivalent</t>
  </si>
  <si>
    <t>Cash and Cash Equivalents at End of the year</t>
  </si>
  <si>
    <t>Liabilities directly associated with assets held for sale</t>
  </si>
  <si>
    <t>Our Calculations</t>
  </si>
  <si>
    <t>TOTAL ASSETS</t>
  </si>
  <si>
    <t xml:space="preserve">Operating Cash Inflow </t>
  </si>
  <si>
    <t>TOTAL LIABILITIES</t>
  </si>
  <si>
    <t>Capital Expenditure</t>
  </si>
  <si>
    <t>FCF</t>
  </si>
  <si>
    <t>Key ratios</t>
  </si>
  <si>
    <t xml:space="preserve"> </t>
  </si>
  <si>
    <t xml:space="preserve">Y/E, Mar </t>
  </si>
  <si>
    <t>CMP(Rs)</t>
  </si>
  <si>
    <t>No. of Shares</t>
  </si>
  <si>
    <t>EPS (Rs) (from Continuing Operations)</t>
  </si>
  <si>
    <t>Market Cap</t>
  </si>
  <si>
    <t>BVPS (Rs)</t>
  </si>
  <si>
    <t>Total Debt</t>
  </si>
  <si>
    <t>DPS (Rs)</t>
  </si>
  <si>
    <t>Cash</t>
  </si>
  <si>
    <t>P/E (x)</t>
  </si>
  <si>
    <t>EV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</si>
  <si>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</si>
  <si>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</si>
  <si>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</si>
  <si>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</si>
  <si>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</si>
  <si>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</si>
  <si>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</si>
  <si>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</si>
  <si>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</si>
  <si>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</si>
  <si>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</si>
  <si>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</si>
  <si>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</si>
  <si>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Fixed Assets Turnover Ratio</t>
  </si>
  <si>
    <t>Interest coverage ratio</t>
  </si>
  <si>
    <t>Puravankara Ltd. (Consolidated)</t>
  </si>
  <si>
    <t>Sub-contractor cost</t>
  </si>
  <si>
    <t>Cost of raw materials, components and stores consumed</t>
  </si>
  <si>
    <t>Purchase of land stock</t>
  </si>
  <si>
    <t>(Increase)/ decrease in inventories of stock of flats, land stock and work-in-progress</t>
  </si>
  <si>
    <t>Employee benefits expense</t>
  </si>
  <si>
    <t>Other expenses</t>
  </si>
  <si>
    <t>Current tax liabilities</t>
  </si>
  <si>
    <t>Assets for current tax (net)</t>
  </si>
  <si>
    <t>Y/E, Mar (Rs. Mn)</t>
  </si>
  <si>
    <t>Diluted Earnings Per Share - (Continuing &amp; discontinued operations)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</si>
</sst>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 * #,##0.0_ ;_ * \-#,##0.0_ ;_ * &quot;-&quot;??_ ;_ @_ "/>
    <numFmt numFmtId="167" formatCode="_ * #,##0.000_ ;_ * \-#,##0.000_ ;_ * &quot;-&quot;??_ ;_ @_ "/>
    <numFmt numFmtId="168" formatCode="_ * #,##0_ ;_ * \-#,##0_ ;_ * &quot;-&quot;??_ ;_ @_ "/>
    <numFmt numFmtId="169" formatCode="0.0%"/>
  </numFmts>
  <fonts count="2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rgb="FF000000"/>
      <name val="MyFirstFont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FFFF00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/>
    <xf numFmtId="0" fontId="4" fillId="0" borderId="8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166" fontId="4" fillId="0" borderId="8" xfId="0" applyNumberFormat="1" applyFont="1" applyBorder="1"/>
    <xf numFmtId="166" fontId="5" fillId="0" borderId="8" xfId="0" applyNumberFormat="1" applyFont="1" applyBorder="1"/>
    <xf numFmtId="10" fontId="5" fillId="0" borderId="0" xfId="0" applyNumberFormat="1" applyFont="1"/>
    <xf numFmtId="0" fontId="5" fillId="0" borderId="7" xfId="0" applyFont="1" applyBorder="1"/>
    <xf numFmtId="0" fontId="7" fillId="0" borderId="8" xfId="0" applyFont="1" applyBorder="1"/>
    <xf numFmtId="0" fontId="4" fillId="4" borderId="7" xfId="0" applyFont="1" applyFill="1" applyBorder="1"/>
    <xf numFmtId="166" fontId="4" fillId="4" borderId="8" xfId="0" applyNumberFormat="1" applyFont="1" applyFill="1" applyBorder="1"/>
    <xf numFmtId="166" fontId="4" fillId="4" borderId="9" xfId="0" applyNumberFormat="1" applyFont="1" applyFill="1" applyBorder="1"/>
    <xf numFmtId="166" fontId="4" fillId="4" borderId="10" xfId="0" applyNumberFormat="1" applyFont="1" applyFill="1" applyBorder="1"/>
    <xf numFmtId="164" fontId="5" fillId="0" borderId="0" xfId="0" applyNumberFormat="1" applyFont="1"/>
    <xf numFmtId="0" fontId="9" fillId="4" borderId="7" xfId="0" applyFont="1" applyFill="1" applyBorder="1"/>
    <xf numFmtId="10" fontId="9" fillId="4" borderId="8" xfId="0" applyNumberFormat="1" applyFont="1" applyFill="1" applyBorder="1"/>
    <xf numFmtId="10" fontId="9" fillId="4" borderId="9" xfId="0" applyNumberFormat="1" applyFont="1" applyFill="1" applyBorder="1"/>
    <xf numFmtId="10" fontId="9" fillId="4" borderId="10" xfId="0" applyNumberFormat="1" applyFont="1" applyFill="1" applyBorder="1"/>
    <xf numFmtId="167" fontId="4" fillId="4" borderId="8" xfId="0" applyNumberFormat="1" applyFont="1" applyFill="1" applyBorder="1"/>
    <xf numFmtId="43" fontId="4" fillId="4" borderId="10" xfId="0" applyNumberFormat="1" applyFont="1" applyFill="1" applyBorder="1"/>
    <xf numFmtId="0" fontId="5" fillId="0" borderId="8" xfId="0" applyFont="1" applyBorder="1"/>
    <xf numFmtId="166" fontId="4" fillId="0" borderId="9" xfId="0" applyNumberFormat="1" applyFont="1" applyBorder="1"/>
    <xf numFmtId="0" fontId="5" fillId="0" borderId="10" xfId="0" applyFont="1" applyBorder="1"/>
    <xf numFmtId="43" fontId="5" fillId="0" borderId="8" xfId="0" applyNumberFormat="1" applyFont="1" applyBorder="1"/>
    <xf numFmtId="0" fontId="4" fillId="4" borderId="12" xfId="0" applyFont="1" applyFill="1" applyBorder="1"/>
    <xf numFmtId="166" fontId="4" fillId="4" borderId="13" xfId="0" applyNumberFormat="1" applyFont="1" applyFill="1" applyBorder="1"/>
    <xf numFmtId="165" fontId="5" fillId="0" borderId="9" xfId="0" applyNumberFormat="1" applyFont="1" applyBorder="1"/>
    <xf numFmtId="10" fontId="4" fillId="4" borderId="8" xfId="0" applyNumberFormat="1" applyFont="1" applyFill="1" applyBorder="1"/>
    <xf numFmtId="10" fontId="4" fillId="4" borderId="9" xfId="0" applyNumberFormat="1" applyFont="1" applyFill="1" applyBorder="1"/>
    <xf numFmtId="10" fontId="4" fillId="4" borderId="10" xfId="0" applyNumberFormat="1" applyFont="1" applyFill="1" applyBorder="1"/>
    <xf numFmtId="43" fontId="5" fillId="0" borderId="0" xfId="0" applyNumberFormat="1" applyFont="1"/>
    <xf numFmtId="166" fontId="5" fillId="0" borderId="8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0" fontId="5" fillId="0" borderId="9" xfId="0" applyFont="1" applyBorder="1"/>
    <xf numFmtId="0" fontId="4" fillId="4" borderId="8" xfId="0" applyFont="1" applyFill="1" applyBorder="1"/>
    <xf numFmtId="43" fontId="4" fillId="4" borderId="8" xfId="0" applyNumberFormat="1" applyFont="1" applyFill="1" applyBorder="1"/>
    <xf numFmtId="0" fontId="5" fillId="0" borderId="12" xfId="0" applyFont="1" applyBorder="1"/>
    <xf numFmtId="0" fontId="4" fillId="0" borderId="8" xfId="0" applyFont="1" applyBorder="1"/>
    <xf numFmtId="166" fontId="5" fillId="0" borderId="7" xfId="0" applyNumberFormat="1" applyFont="1" applyBorder="1"/>
    <xf numFmtId="165" fontId="5" fillId="0" borderId="8" xfId="0" applyNumberFormat="1" applyFont="1" applyBorder="1"/>
    <xf numFmtId="0" fontId="4" fillId="0" borderId="14" xfId="0" applyFont="1" applyBorder="1"/>
    <xf numFmtId="0" fontId="4" fillId="0" borderId="15" xfId="0" applyFont="1" applyBorder="1"/>
    <xf numFmtId="166" fontId="4" fillId="0" borderId="15" xfId="0" applyNumberFormat="1" applyFont="1" applyBorder="1"/>
    <xf numFmtId="43" fontId="4" fillId="0" borderId="15" xfId="0" applyNumberFormat="1" applyFont="1" applyBorder="1"/>
    <xf numFmtId="0" fontId="4" fillId="0" borderId="18" xfId="0" applyFont="1" applyBorder="1"/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43" fontId="4" fillId="0" borderId="20" xfId="0" applyNumberFormat="1" applyFont="1" applyBorder="1" applyAlignment="1">
      <alignment horizontal="center"/>
    </xf>
    <xf numFmtId="43" fontId="4" fillId="0" borderId="19" xfId="0" applyNumberFormat="1" applyFont="1" applyBorder="1" applyAlignment="1">
      <alignment horizontal="center"/>
    </xf>
    <xf numFmtId="43" fontId="4" fillId="0" borderId="21" xfId="0" applyNumberFormat="1" applyFont="1" applyBorder="1" applyAlignment="1">
      <alignment horizontal="center"/>
    </xf>
    <xf numFmtId="166" fontId="4" fillId="4" borderId="15" xfId="0" applyNumberFormat="1" applyFont="1" applyFill="1" applyBorder="1"/>
    <xf numFmtId="166" fontId="4" fillId="4" borderId="17" xfId="0" applyNumberFormat="1" applyFont="1" applyFill="1" applyBorder="1"/>
    <xf numFmtId="0" fontId="4" fillId="0" borderId="0" xfId="0" applyFont="1" applyAlignment="1">
      <alignment horizontal="center"/>
    </xf>
    <xf numFmtId="0" fontId="5" fillId="0" borderId="22" xfId="0" applyFont="1" applyBorder="1"/>
    <xf numFmtId="0" fontId="5" fillId="0" borderId="23" xfId="0" applyFont="1" applyBorder="1"/>
    <xf numFmtId="0" fontId="10" fillId="0" borderId="23" xfId="0" applyFont="1" applyBorder="1"/>
    <xf numFmtId="0" fontId="5" fillId="0" borderId="24" xfId="0" applyFont="1" applyBorder="1"/>
    <xf numFmtId="0" fontId="5" fillId="0" borderId="25" xfId="0" applyFont="1" applyBorder="1"/>
    <xf numFmtId="43" fontId="4" fillId="0" borderId="0" xfId="0" applyNumberFormat="1" applyFont="1"/>
    <xf numFmtId="0" fontId="4" fillId="5" borderId="18" xfId="0" applyFont="1" applyFill="1" applyBorder="1"/>
    <xf numFmtId="0" fontId="4" fillId="0" borderId="4" xfId="0" applyFont="1" applyBorder="1" applyAlignment="1">
      <alignment horizontal="center"/>
    </xf>
    <xf numFmtId="166" fontId="4" fillId="0" borderId="0" xfId="0" applyNumberFormat="1" applyFont="1"/>
    <xf numFmtId="0" fontId="4" fillId="4" borderId="14" xfId="0" applyFont="1" applyFill="1" applyBorder="1"/>
    <xf numFmtId="166" fontId="11" fillId="0" borderId="8" xfId="0" applyNumberFormat="1" applyFont="1" applyBorder="1"/>
    <xf numFmtId="166" fontId="12" fillId="4" borderId="15" xfId="0" applyNumberFormat="1" applyFont="1" applyFill="1" applyBorder="1"/>
    <xf numFmtId="3" fontId="13" fillId="0" borderId="0" xfId="0" applyNumberFormat="1" applyFont="1"/>
    <xf numFmtId="166" fontId="5" fillId="0" borderId="0" xfId="0" applyNumberFormat="1" applyFont="1"/>
    <xf numFmtId="0" fontId="5" fillId="0" borderId="18" xfId="0" applyFont="1" applyBorder="1"/>
    <xf numFmtId="168" fontId="5" fillId="0" borderId="19" xfId="0" applyNumberFormat="1" applyFont="1" applyBorder="1"/>
    <xf numFmtId="3" fontId="14" fillId="0" borderId="19" xfId="0" applyNumberFormat="1" applyFont="1" applyBorder="1"/>
    <xf numFmtId="166" fontId="5" fillId="4" borderId="8" xfId="0" applyNumberFormat="1" applyFont="1" applyFill="1" applyBorder="1"/>
    <xf numFmtId="0" fontId="5" fillId="0" borderId="14" xfId="0" applyFont="1" applyBorder="1"/>
    <xf numFmtId="10" fontId="9" fillId="0" borderId="0" xfId="0" applyNumberFormat="1" applyFont="1"/>
    <xf numFmtId="0" fontId="10" fillId="0" borderId="0" xfId="0" applyFont="1"/>
    <xf numFmtId="0" fontId="7" fillId="3" borderId="0" xfId="0" applyFont="1" applyFill="1"/>
    <xf numFmtId="3" fontId="14" fillId="0" borderId="0" xfId="0" applyNumberFormat="1" applyFont="1"/>
    <xf numFmtId="0" fontId="15" fillId="0" borderId="8" xfId="0" applyFont="1" applyBorder="1"/>
    <xf numFmtId="0" fontId="16" fillId="4" borderId="14" xfId="0" applyFont="1" applyFill="1" applyBorder="1"/>
    <xf numFmtId="43" fontId="15" fillId="0" borderId="8" xfId="0" applyNumberFormat="1" applyFont="1" applyBorder="1"/>
    <xf numFmtId="10" fontId="15" fillId="4" borderId="8" xfId="0" applyNumberFormat="1" applyFont="1" applyFill="1" applyBorder="1"/>
    <xf numFmtId="1" fontId="15" fillId="4" borderId="8" xfId="0" applyNumberFormat="1" applyFont="1" applyFill="1" applyBorder="1"/>
    <xf numFmtId="0" fontId="16" fillId="0" borderId="9" xfId="0" applyFont="1" applyBorder="1" applyAlignment="1">
      <alignment horizontal="right"/>
    </xf>
    <xf numFmtId="166" fontId="16" fillId="4" borderId="16" xfId="0" applyNumberFormat="1" applyFont="1" applyFill="1" applyBorder="1"/>
    <xf numFmtId="0" fontId="17" fillId="0" borderId="12" xfId="0" applyFont="1" applyBorder="1"/>
    <xf numFmtId="166" fontId="16" fillId="4" borderId="8" xfId="0" applyNumberFormat="1" applyFont="1" applyFill="1" applyBorder="1"/>
    <xf numFmtId="0" fontId="17" fillId="0" borderId="8" xfId="0" applyFont="1" applyBorder="1"/>
    <xf numFmtId="0" fontId="16" fillId="0" borderId="8" xfId="0" applyFont="1" applyBorder="1" applyAlignment="1">
      <alignment horizontal="right"/>
    </xf>
    <xf numFmtId="166" fontId="16" fillId="4" borderId="15" xfId="0" applyNumberFormat="1" applyFont="1" applyFill="1" applyBorder="1"/>
    <xf numFmtId="0" fontId="4" fillId="0" borderId="11" xfId="0" applyFont="1" applyBorder="1" applyAlignment="1">
      <alignment horizontal="right"/>
    </xf>
    <xf numFmtId="166" fontId="4" fillId="4" borderId="26" xfId="0" applyNumberFormat="1" applyFont="1" applyFill="1" applyBorder="1"/>
    <xf numFmtId="165" fontId="18" fillId="0" borderId="7" xfId="0" applyNumberFormat="1" applyFont="1" applyBorder="1"/>
    <xf numFmtId="43" fontId="18" fillId="0" borderId="8" xfId="0" applyNumberFormat="1" applyFont="1" applyBorder="1"/>
    <xf numFmtId="43" fontId="18" fillId="4" borderId="8" xfId="0" applyNumberFormat="1" applyFont="1" applyFill="1" applyBorder="1"/>
    <xf numFmtId="43" fontId="19" fillId="4" borderId="8" xfId="0" applyNumberFormat="1" applyFont="1" applyFill="1" applyBorder="1"/>
    <xf numFmtId="166" fontId="19" fillId="4" borderId="8" xfId="0" applyNumberFormat="1" applyFont="1" applyFill="1" applyBorder="1"/>
    <xf numFmtId="166" fontId="19" fillId="4" borderId="10" xfId="0" applyNumberFormat="1" applyFont="1" applyFill="1" applyBorder="1"/>
    <xf numFmtId="166" fontId="18" fillId="4" borderId="15" xfId="0" applyNumberFormat="1" applyFont="1" applyFill="1" applyBorder="1"/>
    <xf numFmtId="166" fontId="19" fillId="4" borderId="17" xfId="0" applyNumberFormat="1" applyFont="1" applyFill="1" applyBorder="1"/>
    <xf numFmtId="0" fontId="18" fillId="0" borderId="18" xfId="0" applyFont="1" applyBorder="1"/>
    <xf numFmtId="0" fontId="18" fillId="0" borderId="19" xfId="0" applyFont="1" applyBorder="1" applyAlignment="1">
      <alignment horizontal="right"/>
    </xf>
    <xf numFmtId="0" fontId="18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165" fontId="19" fillId="0" borderId="7" xfId="0" applyNumberFormat="1" applyFont="1" applyBorder="1"/>
    <xf numFmtId="43" fontId="19" fillId="4" borderId="8" xfId="0" applyNumberFormat="1" applyFont="1" applyFill="1" applyBorder="1" applyAlignment="1">
      <alignment horizontal="right"/>
    </xf>
    <xf numFmtId="169" fontId="19" fillId="0" borderId="7" xfId="0" applyNumberFormat="1" applyFont="1" applyBorder="1"/>
    <xf numFmtId="10" fontId="19" fillId="4" borderId="8" xfId="0" applyNumberFormat="1" applyFont="1" applyFill="1" applyBorder="1"/>
    <xf numFmtId="2" fontId="19" fillId="4" borderId="8" xfId="0" applyNumberFormat="1" applyFont="1" applyFill="1" applyBorder="1"/>
    <xf numFmtId="1" fontId="19" fillId="4" borderId="8" xfId="0" applyNumberFormat="1" applyFont="1" applyFill="1" applyBorder="1"/>
    <xf numFmtId="168" fontId="19" fillId="4" borderId="8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19" fillId="0" borderId="10" xfId="0" applyFont="1" applyBorder="1"/>
    <xf numFmtId="166" fontId="18" fillId="4" borderId="17" xfId="0" applyNumberFormat="1" applyFont="1" applyFill="1" applyBorder="1"/>
    <xf numFmtId="0" fontId="19" fillId="0" borderId="8" xfId="0" applyFont="1" applyBorder="1"/>
    <xf numFmtId="0" fontId="19" fillId="0" borderId="9" xfId="0" applyFont="1" applyBorder="1"/>
    <xf numFmtId="166" fontId="18" fillId="4" borderId="16" xfId="0" applyNumberFormat="1" applyFont="1" applyFill="1" applyBorder="1"/>
    <xf numFmtId="166" fontId="19" fillId="0" borderId="9" xfId="0" applyNumberFormat="1" applyFont="1" applyBorder="1"/>
    <xf numFmtId="166" fontId="19" fillId="0" borderId="8" xfId="0" applyNumberFormat="1" applyFont="1" applyBorder="1"/>
    <xf numFmtId="2" fontId="19" fillId="0" borderId="8" xfId="0" applyNumberFormat="1" applyFont="1" applyBorder="1"/>
    <xf numFmtId="0" fontId="19" fillId="0" borderId="7" xfId="0" applyFont="1" applyBorder="1"/>
    <xf numFmtId="0" fontId="19" fillId="0" borderId="27" xfId="0" applyFont="1" applyBorder="1"/>
    <xf numFmtId="0" fontId="19" fillId="0" borderId="28" xfId="0" applyFont="1" applyBorder="1"/>
    <xf numFmtId="2" fontId="19" fillId="0" borderId="28" xfId="0" applyNumberFormat="1" applyFont="1" applyBorder="1"/>
    <xf numFmtId="43" fontId="19" fillId="0" borderId="28" xfId="0" applyNumberFormat="1" applyFont="1" applyBorder="1"/>
    <xf numFmtId="0" fontId="19" fillId="0" borderId="14" xfId="0" applyFont="1" applyBorder="1"/>
    <xf numFmtId="0" fontId="19" fillId="0" borderId="15" xfId="0" applyFont="1" applyBorder="1"/>
    <xf numFmtId="165" fontId="19" fillId="0" borderId="15" xfId="0" applyNumberFormat="1" applyFont="1" applyBorder="1"/>
    <xf numFmtId="0" fontId="5" fillId="0" borderId="0" xfId="0" applyFont="1" applyBorder="1"/>
    <xf numFmtId="10" fontId="9" fillId="6" borderId="10" xfId="0" applyNumberFormat="1" applyFont="1" applyFill="1" applyBorder="1"/>
    <xf numFmtId="0" fontId="8" fillId="0" borderId="0" xfId="0" applyFont="1" applyBorder="1"/>
    <xf numFmtId="3" fontId="14" fillId="0" borderId="20" xfId="0" applyNumberFormat="1" applyFont="1" applyBorder="1"/>
    <xf numFmtId="0" fontId="2" fillId="0" borderId="30" xfId="0" applyFont="1" applyBorder="1"/>
    <xf numFmtId="0" fontId="4" fillId="0" borderId="31" xfId="0" applyFont="1" applyBorder="1" applyAlignment="1">
      <alignment horizontal="right"/>
    </xf>
    <xf numFmtId="0" fontId="5" fillId="0" borderId="29" xfId="0" applyFont="1" applyBorder="1"/>
    <xf numFmtId="166" fontId="4" fillId="4" borderId="31" xfId="0" applyNumberFormat="1" applyFont="1" applyFill="1" applyBorder="1"/>
    <xf numFmtId="0" fontId="15" fillId="0" borderId="31" xfId="0" applyFont="1" applyBorder="1"/>
    <xf numFmtId="166" fontId="4" fillId="4" borderId="0" xfId="0" applyNumberFormat="1" applyFont="1" applyFill="1" applyBorder="1"/>
    <xf numFmtId="166" fontId="16" fillId="4" borderId="31" xfId="0" applyNumberFormat="1" applyFont="1" applyFill="1" applyBorder="1"/>
    <xf numFmtId="0" fontId="5" fillId="0" borderId="31" xfId="0" applyFont="1" applyBorder="1"/>
    <xf numFmtId="166" fontId="4" fillId="4" borderId="32" xfId="0" applyNumberFormat="1" applyFont="1" applyFill="1" applyBorder="1"/>
    <xf numFmtId="0" fontId="4" fillId="0" borderId="0" xfId="0" applyFont="1" applyBorder="1"/>
    <xf numFmtId="0" fontId="18" fillId="0" borderId="33" xfId="0" applyFont="1" applyBorder="1" applyAlignment="1">
      <alignment horizontal="center"/>
    </xf>
    <xf numFmtId="43" fontId="18" fillId="4" borderId="31" xfId="0" applyNumberFormat="1" applyFont="1" applyFill="1" applyBorder="1"/>
    <xf numFmtId="43" fontId="19" fillId="4" borderId="31" xfId="0" applyNumberFormat="1" applyFont="1" applyFill="1" applyBorder="1"/>
    <xf numFmtId="43" fontId="19" fillId="0" borderId="31" xfId="0" applyNumberFormat="1" applyFont="1" applyBorder="1"/>
    <xf numFmtId="43" fontId="19" fillId="4" borderId="31" xfId="0" applyNumberFormat="1" applyFont="1" applyFill="1" applyBorder="1" applyAlignment="1">
      <alignment horizontal="right"/>
    </xf>
    <xf numFmtId="10" fontId="19" fillId="4" borderId="31" xfId="0" applyNumberFormat="1" applyFont="1" applyFill="1" applyBorder="1" applyAlignment="1">
      <alignment horizontal="right"/>
    </xf>
    <xf numFmtId="2" fontId="19" fillId="4" borderId="31" xfId="0" applyNumberFormat="1" applyFont="1" applyFill="1" applyBorder="1"/>
    <xf numFmtId="10" fontId="15" fillId="4" borderId="31" xfId="0" applyNumberFormat="1" applyFont="1" applyFill="1" applyBorder="1"/>
    <xf numFmtId="166" fontId="5" fillId="0" borderId="9" xfId="0" applyNumberFormat="1" applyFont="1" applyBorder="1"/>
    <xf numFmtId="166" fontId="4" fillId="4" borderId="34" xfId="0" applyNumberFormat="1" applyFont="1" applyFill="1" applyBorder="1"/>
    <xf numFmtId="166" fontId="16" fillId="0" borderId="8" xfId="0" applyNumberFormat="1" applyFont="1" applyBorder="1"/>
    <xf numFmtId="43" fontId="17" fillId="0" borderId="8" xfId="0" applyNumberFormat="1" applyFont="1" applyBorder="1"/>
    <xf numFmtId="165" fontId="17" fillId="0" borderId="8" xfId="0" applyNumberFormat="1" applyFont="1" applyBorder="1"/>
    <xf numFmtId="166" fontId="17" fillId="0" borderId="8" xfId="0" applyNumberFormat="1" applyFont="1" applyBorder="1"/>
    <xf numFmtId="43" fontId="4" fillId="4" borderId="9" xfId="0" applyNumberFormat="1" applyFont="1" applyFill="1" applyBorder="1"/>
    <xf numFmtId="43" fontId="4" fillId="0" borderId="16" xfId="0" applyNumberFormat="1" applyFont="1" applyBorder="1"/>
    <xf numFmtId="166" fontId="5" fillId="3" borderId="8" xfId="0" applyNumberFormat="1" applyFont="1" applyFill="1" applyBorder="1" applyAlignment="1">
      <alignment horizontal="center"/>
    </xf>
    <xf numFmtId="0" fontId="5" fillId="0" borderId="15" xfId="0" applyFont="1" applyBorder="1"/>
    <xf numFmtId="0" fontId="5" fillId="0" borderId="17" xfId="0" applyFont="1" applyBorder="1"/>
    <xf numFmtId="166" fontId="5" fillId="0" borderId="10" xfId="0" applyNumberFormat="1" applyFont="1" applyBorder="1"/>
    <xf numFmtId="166" fontId="20" fillId="4" borderId="19" xfId="0" applyNumberFormat="1" applyFont="1" applyFill="1" applyBorder="1"/>
    <xf numFmtId="165" fontId="18" fillId="0" borderId="7" xfId="0" applyNumberFormat="1" applyFont="1" applyFill="1" applyBorder="1"/>
    <xf numFmtId="165" fontId="19" fillId="0" borderId="7" xfId="0" applyNumberFormat="1" applyFont="1" applyFill="1" applyBorder="1"/>
    <xf numFmtId="43" fontId="19" fillId="0" borderId="8" xfId="0" applyNumberFormat="1" applyFont="1" applyBorder="1"/>
    <xf numFmtId="43" fontId="19" fillId="0" borderId="31" xfId="0" applyNumberFormat="1" applyFont="1" applyFill="1" applyBorder="1" applyAlignment="1">
      <alignment horizontal="right"/>
    </xf>
    <xf numFmtId="43" fontId="19" fillId="0" borderId="3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000"/>
  <sheetViews>
    <sheetView tabSelected="1" topLeftCell="A31" zoomScale="85" zoomScaleNormal="85" workbookViewId="0">
      <selection activeCell="T90" sqref="T90"/>
    </sheetView>
  </sheetViews>
  <sheetFormatPr defaultColWidth="14.44140625" defaultRowHeight="14.4"/>
  <cols>
    <col min="1" max="1" width="59.5546875" customWidth="1"/>
    <col min="2" max="2" width="8.44140625" hidden="1" customWidth="1"/>
    <col min="3" max="3" width="10.21875" hidden="1" customWidth="1"/>
    <col min="4" max="5" width="12.44140625" hidden="1" customWidth="1"/>
    <col min="6" max="6" width="12.44140625" customWidth="1"/>
    <col min="7" max="7" width="12.21875" customWidth="1"/>
    <col min="8" max="8" width="11.44140625" customWidth="1"/>
    <col min="9" max="10" width="12" customWidth="1"/>
    <col min="11" max="11" width="12.21875" customWidth="1"/>
    <col min="12" max="12" width="1.77734375" customWidth="1"/>
    <col min="13" max="13" width="42.5546875" customWidth="1"/>
    <col min="14" max="14" width="13.77734375" hidden="1" customWidth="1"/>
    <col min="15" max="15" width="10.44140625" hidden="1" customWidth="1"/>
    <col min="16" max="16" width="13" hidden="1" customWidth="1"/>
    <col min="17" max="17" width="11.44140625" hidden="1" customWidth="1"/>
    <col min="18" max="18" width="10.44140625" customWidth="1"/>
    <col min="19" max="19" width="12" customWidth="1"/>
    <col min="20" max="20" width="10.21875" bestFit="1" customWidth="1"/>
    <col min="21" max="22" width="10.5546875" customWidth="1"/>
  </cols>
  <sheetData>
    <row r="1" spans="1:22" ht="15" customHeight="1" thickBot="1">
      <c r="A1" s="116" t="s">
        <v>126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</row>
    <row r="2" spans="1:22" ht="14.25" customHeight="1">
      <c r="A2" s="118" t="s">
        <v>0</v>
      </c>
      <c r="B2" s="119"/>
      <c r="C2" s="119"/>
      <c r="D2" s="119"/>
      <c r="E2" s="119"/>
      <c r="F2" s="119"/>
      <c r="G2" s="119"/>
      <c r="H2" s="119"/>
      <c r="I2" s="119"/>
      <c r="J2" s="120"/>
      <c r="K2" s="1"/>
      <c r="L2" s="2"/>
      <c r="M2" s="121" t="s">
        <v>1</v>
      </c>
      <c r="N2" s="122"/>
      <c r="O2" s="122"/>
      <c r="P2" s="122"/>
      <c r="Q2" s="122"/>
      <c r="R2" s="122"/>
      <c r="S2" s="122"/>
      <c r="T2" s="122"/>
      <c r="U2" s="122"/>
      <c r="V2" s="143"/>
    </row>
    <row r="3" spans="1:22" ht="12" customHeight="1">
      <c r="A3" s="3" t="s">
        <v>135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4" t="s">
        <v>10</v>
      </c>
      <c r="J3" s="6" t="s">
        <v>11</v>
      </c>
      <c r="K3" s="7">
        <v>10</v>
      </c>
      <c r="L3" s="2"/>
      <c r="M3" s="3" t="s">
        <v>2</v>
      </c>
      <c r="N3" s="8" t="s">
        <v>3</v>
      </c>
      <c r="O3" s="8" t="s">
        <v>4</v>
      </c>
      <c r="P3" s="8" t="s">
        <v>5</v>
      </c>
      <c r="Q3" s="8" t="s">
        <v>6</v>
      </c>
      <c r="R3" s="9" t="s">
        <v>7</v>
      </c>
      <c r="S3" s="87" t="s">
        <v>8</v>
      </c>
      <c r="T3" s="92" t="s">
        <v>9</v>
      </c>
      <c r="U3" s="94" t="s">
        <v>12</v>
      </c>
      <c r="V3" s="144" t="s">
        <v>11</v>
      </c>
    </row>
    <row r="4" spans="1:22" ht="12" customHeight="1">
      <c r="A4" s="3" t="s">
        <v>13</v>
      </c>
      <c r="B4" s="10"/>
      <c r="C4" s="10"/>
      <c r="D4" s="11">
        <v>8745.19</v>
      </c>
      <c r="E4" s="161">
        <v>8398.86</v>
      </c>
      <c r="F4" s="26">
        <v>9634.6</v>
      </c>
      <c r="G4" s="26">
        <v>9547</v>
      </c>
      <c r="H4" s="26">
        <v>12357.7</v>
      </c>
      <c r="I4" s="26">
        <v>21852.600000000002</v>
      </c>
      <c r="J4" s="28">
        <v>11538.699999999999</v>
      </c>
      <c r="K4" s="7"/>
      <c r="L4" s="12"/>
      <c r="M4" s="13" t="s">
        <v>14</v>
      </c>
      <c r="N4" s="11"/>
      <c r="O4" s="11"/>
      <c r="P4" s="14">
        <v>111.69</v>
      </c>
      <c r="Q4" s="161">
        <v>111.69</v>
      </c>
      <c r="R4" s="26">
        <v>1185.8</v>
      </c>
      <c r="S4" s="26">
        <v>1185.8</v>
      </c>
      <c r="T4" s="26">
        <v>1185.8</v>
      </c>
      <c r="U4" s="26">
        <v>1185.8</v>
      </c>
      <c r="V4" s="150">
        <v>1185.8</v>
      </c>
    </row>
    <row r="5" spans="1:22" ht="12" customHeight="1">
      <c r="A5" s="13" t="s">
        <v>15</v>
      </c>
      <c r="B5" s="11"/>
      <c r="C5" s="11"/>
      <c r="D5" s="11">
        <v>55.4</v>
      </c>
      <c r="E5" s="161">
        <v>74.38</v>
      </c>
      <c r="F5" s="26">
        <v>931.1</v>
      </c>
      <c r="G5" s="26">
        <v>4269.5</v>
      </c>
      <c r="H5" s="26">
        <v>1712.2</v>
      </c>
      <c r="I5" s="26">
        <v>748.40000000000009</v>
      </c>
      <c r="J5" s="28">
        <v>413.6</v>
      </c>
      <c r="K5" s="7"/>
      <c r="L5" s="7"/>
      <c r="M5" s="13" t="s">
        <v>16</v>
      </c>
      <c r="N5" s="11"/>
      <c r="O5" s="11"/>
      <c r="P5" s="14">
        <v>2252.06</v>
      </c>
      <c r="Q5" s="161">
        <v>2370.17</v>
      </c>
      <c r="R5" s="26">
        <v>17773.900000000001</v>
      </c>
      <c r="S5" s="26">
        <v>19234.8</v>
      </c>
      <c r="T5" s="26">
        <v>18681.900000000001</v>
      </c>
      <c r="U5" s="26">
        <v>17645.599999999999</v>
      </c>
      <c r="V5" s="150">
        <v>17650.3</v>
      </c>
    </row>
    <row r="6" spans="1:22" ht="12" customHeight="1">
      <c r="A6" s="15" t="s">
        <v>17</v>
      </c>
      <c r="B6" s="16">
        <f t="shared" ref="B6:J6" si="0">B4+B5</f>
        <v>0</v>
      </c>
      <c r="C6" s="16">
        <f t="shared" si="0"/>
        <v>0</v>
      </c>
      <c r="D6" s="16">
        <f t="shared" si="0"/>
        <v>8800.59</v>
      </c>
      <c r="E6" s="17">
        <f t="shared" si="0"/>
        <v>8473.24</v>
      </c>
      <c r="F6" s="16">
        <f t="shared" si="0"/>
        <v>10565.7</v>
      </c>
      <c r="G6" s="16">
        <f t="shared" si="0"/>
        <v>13816.5</v>
      </c>
      <c r="H6" s="16">
        <f t="shared" si="0"/>
        <v>14069.900000000001</v>
      </c>
      <c r="I6" s="16">
        <f t="shared" si="0"/>
        <v>22601.000000000004</v>
      </c>
      <c r="J6" s="18">
        <f t="shared" si="0"/>
        <v>11952.3</v>
      </c>
      <c r="K6" s="7"/>
      <c r="L6" s="19"/>
      <c r="M6" s="15" t="s">
        <v>18</v>
      </c>
      <c r="N6" s="16">
        <f t="shared" ref="N6:V6" si="1">(N4+N5)</f>
        <v>0</v>
      </c>
      <c r="O6" s="16">
        <f t="shared" si="1"/>
        <v>0</v>
      </c>
      <c r="P6" s="16">
        <f t="shared" si="1"/>
        <v>2363.75</v>
      </c>
      <c r="Q6" s="17">
        <f t="shared" si="1"/>
        <v>2481.86</v>
      </c>
      <c r="R6" s="16">
        <f t="shared" si="1"/>
        <v>18959.7</v>
      </c>
      <c r="S6" s="90">
        <f>(S4+S5)</f>
        <v>20420.599999999999</v>
      </c>
      <c r="T6" s="90">
        <f>(T4+T5)</f>
        <v>19867.7</v>
      </c>
      <c r="U6" s="16">
        <f t="shared" si="1"/>
        <v>18831.399999999998</v>
      </c>
      <c r="V6" s="146">
        <f t="shared" si="1"/>
        <v>18836.099999999999</v>
      </c>
    </row>
    <row r="7" spans="1:22" ht="12" customHeight="1">
      <c r="A7" s="20" t="s">
        <v>19</v>
      </c>
      <c r="B7" s="21"/>
      <c r="C7" s="21" t="e">
        <f>(C6/B6-1)</f>
        <v>#DIV/0!</v>
      </c>
      <c r="D7" s="21" t="s">
        <v>20</v>
      </c>
      <c r="E7" s="22">
        <f t="shared" ref="E7:I7" si="2">(E6/D6-1)</f>
        <v>-3.7196369788843775E-2</v>
      </c>
      <c r="F7" s="21"/>
      <c r="G7" s="21">
        <f>(G6/F6-1)</f>
        <v>0.30767483460632028</v>
      </c>
      <c r="H7" s="21">
        <f t="shared" si="2"/>
        <v>1.8340390113270377E-2</v>
      </c>
      <c r="I7" s="21">
        <f t="shared" si="2"/>
        <v>0.60633693203221073</v>
      </c>
      <c r="J7" s="140"/>
      <c r="K7" s="7"/>
      <c r="L7" s="7"/>
      <c r="M7" s="13" t="s">
        <v>21</v>
      </c>
      <c r="N7" s="11"/>
      <c r="O7" s="11"/>
      <c r="P7" s="11"/>
      <c r="Q7" s="161"/>
      <c r="R7" s="26">
        <v>-23.799999999999997</v>
      </c>
      <c r="S7" s="26">
        <v>65.900000000000006</v>
      </c>
      <c r="T7" s="26">
        <v>66.3</v>
      </c>
      <c r="U7" s="26">
        <v>63.7</v>
      </c>
      <c r="V7" s="150">
        <v>-48</v>
      </c>
    </row>
    <row r="8" spans="1:22" ht="12" customHeight="1">
      <c r="A8" s="20" t="s">
        <v>22</v>
      </c>
      <c r="B8" s="21"/>
      <c r="C8" s="21"/>
      <c r="D8" s="21"/>
      <c r="E8" s="22"/>
      <c r="F8" s="21"/>
      <c r="G8" s="21"/>
      <c r="H8" s="21"/>
      <c r="I8" s="21">
        <f>+((I6/F6)^(1/3)-1)</f>
        <v>0.28847637530090631</v>
      </c>
      <c r="J8" s="140"/>
      <c r="K8" s="7"/>
      <c r="L8" s="7"/>
      <c r="M8" s="13" t="s">
        <v>23</v>
      </c>
      <c r="N8" s="11"/>
      <c r="O8" s="11"/>
      <c r="P8" s="141">
        <v>3283.03</v>
      </c>
      <c r="Q8" s="161">
        <v>3125.95</v>
      </c>
      <c r="R8" s="26">
        <v>5428.7</v>
      </c>
      <c r="S8" s="26">
        <v>5719.5</v>
      </c>
      <c r="T8" s="26">
        <v>4663.8</v>
      </c>
      <c r="U8" s="26">
        <v>5795.2</v>
      </c>
      <c r="V8" s="150">
        <v>4268.5</v>
      </c>
    </row>
    <row r="9" spans="1:22" ht="12" customHeight="1">
      <c r="A9" s="15" t="s">
        <v>24</v>
      </c>
      <c r="B9" s="16">
        <f t="shared" ref="B9:H9" si="3">SUM(B10:B15)</f>
        <v>0</v>
      </c>
      <c r="C9" s="16">
        <f t="shared" si="3"/>
        <v>0</v>
      </c>
      <c r="D9" s="16">
        <f t="shared" si="3"/>
        <v>7294.15</v>
      </c>
      <c r="E9" s="17">
        <f t="shared" si="3"/>
        <v>6714.4400000000005</v>
      </c>
      <c r="F9" s="16">
        <f t="shared" si="3"/>
        <v>6792.9999999999991</v>
      </c>
      <c r="G9" s="16">
        <f t="shared" si="3"/>
        <v>7411.9000000000024</v>
      </c>
      <c r="H9" s="16">
        <f t="shared" si="3"/>
        <v>10060.4</v>
      </c>
      <c r="I9" s="24">
        <f t="shared" ref="I9:J9" si="4">SUM(I10:I15)</f>
        <v>17224.5</v>
      </c>
      <c r="J9" s="25">
        <f t="shared" si="4"/>
        <v>9114.1</v>
      </c>
      <c r="K9" s="7"/>
      <c r="L9" s="7"/>
      <c r="M9" s="13" t="s">
        <v>25</v>
      </c>
      <c r="N9" s="11"/>
      <c r="O9" s="11"/>
      <c r="P9" s="11">
        <v>1419.21</v>
      </c>
      <c r="Q9" s="161">
        <v>1587.85</v>
      </c>
      <c r="R9" s="26">
        <v>22792.7</v>
      </c>
      <c r="S9" s="26">
        <v>20390.8</v>
      </c>
      <c r="T9" s="26">
        <v>24605.4</v>
      </c>
      <c r="U9" s="26">
        <v>27060.7</v>
      </c>
      <c r="V9" s="150">
        <v>35531.199999999997</v>
      </c>
    </row>
    <row r="10" spans="1:22" ht="12" customHeight="1">
      <c r="A10" s="13" t="s">
        <v>127</v>
      </c>
      <c r="B10" s="26"/>
      <c r="C10" s="26"/>
      <c r="D10" s="26">
        <v>2711.57</v>
      </c>
      <c r="E10" s="39">
        <v>2428.5300000000002</v>
      </c>
      <c r="F10" s="26">
        <v>3463.5</v>
      </c>
      <c r="G10" s="26">
        <v>5841.3</v>
      </c>
      <c r="H10" s="26">
        <v>7909.4000000000005</v>
      </c>
      <c r="I10" s="26">
        <v>11102.5</v>
      </c>
      <c r="J10" s="28">
        <v>4991.6000000000004</v>
      </c>
      <c r="K10" s="7"/>
      <c r="L10" s="7"/>
      <c r="M10" s="15" t="s">
        <v>26</v>
      </c>
      <c r="N10" s="16">
        <f t="shared" ref="N10:V10" si="5">(N8+N9)</f>
        <v>0</v>
      </c>
      <c r="O10" s="16">
        <f t="shared" si="5"/>
        <v>0</v>
      </c>
      <c r="P10" s="16">
        <f t="shared" si="5"/>
        <v>4702.24</v>
      </c>
      <c r="Q10" s="17">
        <f t="shared" si="5"/>
        <v>4713.7999999999993</v>
      </c>
      <c r="R10" s="16">
        <f>(R8+R9)</f>
        <v>28221.4</v>
      </c>
      <c r="S10" s="90">
        <f>(S8+S9)</f>
        <v>26110.3</v>
      </c>
      <c r="T10" s="90">
        <f t="shared" si="5"/>
        <v>29269.200000000001</v>
      </c>
      <c r="U10" s="16">
        <f>(U8+U9)</f>
        <v>32855.9</v>
      </c>
      <c r="V10" s="146">
        <f t="shared" si="5"/>
        <v>39799.699999999997</v>
      </c>
    </row>
    <row r="11" spans="1:22" ht="12" customHeight="1">
      <c r="A11" s="13" t="s">
        <v>128</v>
      </c>
      <c r="B11" s="26"/>
      <c r="C11" s="26"/>
      <c r="D11" s="26">
        <v>9.32</v>
      </c>
      <c r="E11" s="39">
        <v>0.68</v>
      </c>
      <c r="F11" s="26">
        <v>481.59999999999997</v>
      </c>
      <c r="G11" s="26">
        <v>1099.5</v>
      </c>
      <c r="H11" s="26">
        <v>2912.2000000000003</v>
      </c>
      <c r="I11" s="26">
        <v>2372.9</v>
      </c>
      <c r="J11" s="28">
        <v>1397.8999999999999</v>
      </c>
      <c r="K11" s="7"/>
      <c r="L11" s="7"/>
      <c r="M11" s="15" t="s">
        <v>27</v>
      </c>
      <c r="N11" s="16">
        <f>(N6+N8+N7+N56+N53+N54)</f>
        <v>0</v>
      </c>
      <c r="O11" s="16">
        <f>(O6+O8+O7+O56+O53+O54)</f>
        <v>0</v>
      </c>
      <c r="P11" s="16">
        <f t="shared" ref="P11:Q11" si="6">P6+P10+P7</f>
        <v>7065.99</v>
      </c>
      <c r="Q11" s="17">
        <f t="shared" si="6"/>
        <v>7195.66</v>
      </c>
      <c r="R11" s="16">
        <f>R6+R8+R7+SUM(R53:R57)</f>
        <v>24927.600000000002</v>
      </c>
      <c r="S11" s="90">
        <f t="shared" ref="S11" si="7">S6+S8+S7+SUM(S53:S57)</f>
        <v>26702.2</v>
      </c>
      <c r="T11" s="90">
        <f>T6+T8+T7+SUM(T53:T57)</f>
        <v>24850.7</v>
      </c>
      <c r="U11" s="16">
        <f>U6+U8+U7+SUM(U53:U57)</f>
        <v>25103</v>
      </c>
      <c r="V11" s="146">
        <f>V6+V8+V7+SUM(V53:V57)</f>
        <v>23488.199999999997</v>
      </c>
    </row>
    <row r="12" spans="1:22" ht="12" customHeight="1">
      <c r="A12" s="13" t="s">
        <v>129</v>
      </c>
      <c r="B12" s="26"/>
      <c r="C12" s="26"/>
      <c r="D12" s="26">
        <v>51.72</v>
      </c>
      <c r="E12" s="39">
        <v>77.45</v>
      </c>
      <c r="F12" s="26">
        <v>3337.7</v>
      </c>
      <c r="G12" s="26">
        <v>2143.6000000000004</v>
      </c>
      <c r="H12" s="26">
        <v>3833.6000000000004</v>
      </c>
      <c r="I12" s="26">
        <v>2877.2000000000003</v>
      </c>
      <c r="J12" s="28">
        <v>8834.5</v>
      </c>
      <c r="K12" s="7"/>
      <c r="L12" s="7"/>
      <c r="M12" s="3"/>
      <c r="N12" s="10"/>
      <c r="O12" s="10"/>
      <c r="P12" s="10"/>
      <c r="Q12" s="27"/>
      <c r="R12" s="10"/>
      <c r="S12" s="163"/>
      <c r="T12" s="91"/>
      <c r="U12" s="82"/>
      <c r="V12" s="147"/>
    </row>
    <row r="13" spans="1:22" ht="12" customHeight="1">
      <c r="A13" s="13" t="s">
        <v>130</v>
      </c>
      <c r="B13" s="26"/>
      <c r="C13" s="26"/>
      <c r="D13" s="26">
        <v>646.37</v>
      </c>
      <c r="E13" s="39">
        <v>637.16999999999996</v>
      </c>
      <c r="F13" s="26">
        <v>-3354.2000000000003</v>
      </c>
      <c r="G13" s="26">
        <v>-5706.7999999999993</v>
      </c>
      <c r="H13" s="26">
        <v>-10050.700000000001</v>
      </c>
      <c r="I13" s="26">
        <v>-5996.7</v>
      </c>
      <c r="J13" s="28">
        <v>-9792.7999999999993</v>
      </c>
      <c r="K13" s="7"/>
      <c r="L13" s="7"/>
      <c r="M13" s="13"/>
      <c r="N13" s="11"/>
      <c r="O13" s="11"/>
      <c r="P13" s="11">
        <f t="shared" ref="P13:Q13" si="8">P11-P12</f>
        <v>7065.99</v>
      </c>
      <c r="Q13" s="161">
        <f t="shared" si="8"/>
        <v>7195.66</v>
      </c>
      <c r="R13" s="29"/>
      <c r="S13" s="164"/>
      <c r="T13" s="91"/>
      <c r="U13" s="82"/>
      <c r="V13" s="147"/>
    </row>
    <row r="14" spans="1:22" ht="12" customHeight="1">
      <c r="A14" s="13" t="s">
        <v>131</v>
      </c>
      <c r="B14" s="26"/>
      <c r="C14" s="26"/>
      <c r="D14" s="26"/>
      <c r="E14" s="39"/>
      <c r="F14" s="26">
        <v>1146.7</v>
      </c>
      <c r="G14" s="26">
        <v>1376.8000000000002</v>
      </c>
      <c r="H14" s="26">
        <v>1713.5</v>
      </c>
      <c r="I14" s="26">
        <v>2261.8000000000002</v>
      </c>
      <c r="J14" s="28">
        <v>1442.3</v>
      </c>
      <c r="K14" s="7"/>
      <c r="L14" s="7"/>
      <c r="M14" s="30" t="s">
        <v>29</v>
      </c>
      <c r="N14" s="148"/>
      <c r="O14" s="148"/>
      <c r="P14" s="31">
        <f t="shared" ref="P14:Q14" si="9">SUM(P15:P29)</f>
        <v>8028.05</v>
      </c>
      <c r="Q14" s="162">
        <f t="shared" si="9"/>
        <v>8081.89</v>
      </c>
      <c r="R14" s="16">
        <f>SUM(R15:R29)</f>
        <v>10417.4</v>
      </c>
      <c r="S14" s="90">
        <f>SUM(S15:S28)</f>
        <v>8542.7999999999993</v>
      </c>
      <c r="T14" s="90">
        <f>SUM(T15:T29)</f>
        <v>10378.299999999999</v>
      </c>
      <c r="U14" s="16">
        <f>SUM(U15:U29)</f>
        <v>13889.2</v>
      </c>
      <c r="V14" s="146">
        <f>SUM(V15:V29)</f>
        <v>15198.5</v>
      </c>
    </row>
    <row r="15" spans="1:22" ht="12" customHeight="1">
      <c r="A15" s="13" t="s">
        <v>132</v>
      </c>
      <c r="B15" s="26"/>
      <c r="C15" s="26"/>
      <c r="D15" s="26">
        <v>3875.17</v>
      </c>
      <c r="E15" s="39">
        <v>3570.61</v>
      </c>
      <c r="F15" s="26">
        <v>1717.7</v>
      </c>
      <c r="G15" s="26">
        <v>2657.5</v>
      </c>
      <c r="H15" s="26">
        <v>3742.4</v>
      </c>
      <c r="I15" s="26">
        <v>4606.8</v>
      </c>
      <c r="J15" s="28">
        <v>2240.6</v>
      </c>
      <c r="K15" s="7"/>
      <c r="L15" s="7"/>
      <c r="M15" s="13" t="s">
        <v>30</v>
      </c>
      <c r="N15" s="26"/>
      <c r="O15" s="26"/>
      <c r="P15" s="26">
        <v>6331.86</v>
      </c>
      <c r="Q15" s="39">
        <v>6202.17</v>
      </c>
      <c r="R15" s="26">
        <v>667.30000000000007</v>
      </c>
      <c r="S15" s="26">
        <v>611.19999999999993</v>
      </c>
      <c r="T15" s="26">
        <v>840.8</v>
      </c>
      <c r="U15" s="26">
        <v>1448</v>
      </c>
      <c r="V15" s="150">
        <v>1536.8</v>
      </c>
    </row>
    <row r="16" spans="1:22" ht="12" customHeight="1">
      <c r="A16" s="15" t="s">
        <v>32</v>
      </c>
      <c r="B16" s="16">
        <f t="shared" ref="B16:J16" si="10">(B6-B9)</f>
        <v>0</v>
      </c>
      <c r="C16" s="16">
        <f t="shared" si="10"/>
        <v>0</v>
      </c>
      <c r="D16" s="16">
        <f t="shared" si="10"/>
        <v>1506.4400000000005</v>
      </c>
      <c r="E16" s="17">
        <f t="shared" si="10"/>
        <v>1758.7999999999993</v>
      </c>
      <c r="F16" s="16">
        <f t="shared" si="10"/>
        <v>3772.7000000000016</v>
      </c>
      <c r="G16" s="16">
        <f t="shared" si="10"/>
        <v>6404.5999999999976</v>
      </c>
      <c r="H16" s="16">
        <f t="shared" si="10"/>
        <v>4009.5000000000018</v>
      </c>
      <c r="I16" s="16">
        <f t="shared" si="10"/>
        <v>5376.5000000000036</v>
      </c>
      <c r="J16" s="18">
        <f t="shared" si="10"/>
        <v>2838.1999999999989</v>
      </c>
      <c r="K16" s="7"/>
      <c r="L16" s="7"/>
      <c r="M16" s="13" t="s">
        <v>31</v>
      </c>
      <c r="N16" s="26"/>
      <c r="O16" s="26"/>
      <c r="P16" s="26">
        <v>70.209999999999994</v>
      </c>
      <c r="Q16" s="39">
        <v>34.19</v>
      </c>
      <c r="R16" s="26">
        <v>0</v>
      </c>
      <c r="S16" s="26">
        <v>4.8</v>
      </c>
      <c r="T16" s="26">
        <v>8.2999999999999989</v>
      </c>
      <c r="U16" s="26">
        <v>22.799999999999997</v>
      </c>
      <c r="V16" s="150">
        <v>0</v>
      </c>
    </row>
    <row r="17" spans="1:22" ht="12" customHeight="1">
      <c r="A17" s="20" t="s">
        <v>19</v>
      </c>
      <c r="B17" s="21"/>
      <c r="C17" s="21" t="e">
        <f>(C16/B16-1)</f>
        <v>#DIV/0!</v>
      </c>
      <c r="D17" s="21"/>
      <c r="E17" s="22">
        <f t="shared" ref="E17:I17" si="11">(E16/D16-1)</f>
        <v>0.16752077746209526</v>
      </c>
      <c r="F17" s="21"/>
      <c r="G17" s="21">
        <f t="shared" si="11"/>
        <v>0.69761709120788695</v>
      </c>
      <c r="H17" s="21">
        <f t="shared" si="11"/>
        <v>-0.37396558723417495</v>
      </c>
      <c r="I17" s="21">
        <f t="shared" si="11"/>
        <v>0.34094026686619316</v>
      </c>
      <c r="J17" s="140"/>
      <c r="K17" s="7"/>
      <c r="L17" s="7"/>
      <c r="M17" s="13" t="s">
        <v>33</v>
      </c>
      <c r="N17" s="26"/>
      <c r="O17" s="26"/>
      <c r="P17" s="26">
        <v>989.81</v>
      </c>
      <c r="Q17" s="39">
        <v>980.37</v>
      </c>
      <c r="R17" s="26">
        <v>333.7</v>
      </c>
      <c r="S17" s="26">
        <v>257</v>
      </c>
      <c r="T17" s="26">
        <v>107.89999999999999</v>
      </c>
      <c r="U17" s="26">
        <v>105.9</v>
      </c>
      <c r="V17" s="150">
        <v>105.1</v>
      </c>
    </row>
    <row r="18" spans="1:22" ht="12" customHeight="1">
      <c r="A18" s="20" t="s">
        <v>22</v>
      </c>
      <c r="B18" s="21"/>
      <c r="C18" s="21"/>
      <c r="D18" s="21"/>
      <c r="E18" s="22"/>
      <c r="F18" s="21"/>
      <c r="G18" s="21"/>
      <c r="H18" s="21"/>
      <c r="I18" s="21">
        <f>+((I16/F16)^(1/3)-1)</f>
        <v>0.12533664000083466</v>
      </c>
      <c r="J18" s="140"/>
      <c r="K18" s="7"/>
      <c r="L18" s="7"/>
      <c r="M18" s="13" t="s">
        <v>34</v>
      </c>
      <c r="N18" s="26"/>
      <c r="O18" s="26"/>
      <c r="P18" s="26">
        <v>39.56</v>
      </c>
      <c r="Q18" s="39">
        <v>124.11</v>
      </c>
      <c r="R18" s="26">
        <v>0</v>
      </c>
      <c r="S18" s="26">
        <v>0</v>
      </c>
      <c r="T18" s="26">
        <v>0</v>
      </c>
      <c r="U18" s="26">
        <v>0</v>
      </c>
      <c r="V18" s="150">
        <v>0</v>
      </c>
    </row>
    <row r="19" spans="1:22" ht="12" customHeight="1">
      <c r="A19" s="15" t="s">
        <v>36</v>
      </c>
      <c r="B19" s="33" t="e">
        <f>(B16/B6)</f>
        <v>#DIV/0!</v>
      </c>
      <c r="C19" s="33" t="e">
        <f>(C16/C6)</f>
        <v>#DIV/0!</v>
      </c>
      <c r="D19" s="33">
        <f t="shared" ref="D19:J19" si="12">(D16/D4)</f>
        <v>0.17225926480728268</v>
      </c>
      <c r="E19" s="34">
        <f t="shared" si="12"/>
        <v>0.20940937222432557</v>
      </c>
      <c r="F19" s="33">
        <f t="shared" si="12"/>
        <v>0.39157826998526163</v>
      </c>
      <c r="G19" s="33">
        <f t="shared" si="12"/>
        <v>0.67084948151251678</v>
      </c>
      <c r="H19" s="33">
        <f t="shared" si="12"/>
        <v>0.3244535795495927</v>
      </c>
      <c r="I19" s="33">
        <f t="shared" si="12"/>
        <v>0.24603479677475462</v>
      </c>
      <c r="J19" s="35">
        <f t="shared" si="12"/>
        <v>0.24597224990683519</v>
      </c>
      <c r="K19" s="7"/>
      <c r="L19" s="7"/>
      <c r="M19" s="13" t="s">
        <v>35</v>
      </c>
      <c r="N19" s="26"/>
      <c r="O19" s="26"/>
      <c r="P19" s="26">
        <v>2.63</v>
      </c>
      <c r="Q19" s="39">
        <v>2.75</v>
      </c>
      <c r="R19" s="26">
        <v>112.8</v>
      </c>
      <c r="S19" s="26">
        <v>95.3</v>
      </c>
      <c r="T19" s="26">
        <v>120.1</v>
      </c>
      <c r="U19" s="26">
        <v>73.7</v>
      </c>
      <c r="V19" s="150">
        <v>60.9</v>
      </c>
    </row>
    <row r="20" spans="1:22" ht="12" customHeight="1">
      <c r="A20" s="13" t="s">
        <v>38</v>
      </c>
      <c r="B20" s="11"/>
      <c r="C20" s="11"/>
      <c r="D20" s="26">
        <v>283.08999999999997</v>
      </c>
      <c r="E20" s="39">
        <v>313.33999999999997</v>
      </c>
      <c r="F20" s="26">
        <v>203.79999999999998</v>
      </c>
      <c r="G20" s="26">
        <v>176.4</v>
      </c>
      <c r="H20" s="26">
        <v>171.29999999999998</v>
      </c>
      <c r="I20" s="26">
        <v>280.5</v>
      </c>
      <c r="J20" s="28">
        <v>154.9</v>
      </c>
      <c r="K20" s="7"/>
      <c r="L20" s="7"/>
      <c r="M20" s="13" t="s">
        <v>37</v>
      </c>
      <c r="N20" s="26"/>
      <c r="O20" s="26"/>
      <c r="P20" s="26">
        <v>0.1</v>
      </c>
      <c r="Q20" s="39">
        <v>0.1</v>
      </c>
      <c r="R20" s="26">
        <v>0</v>
      </c>
      <c r="S20" s="26">
        <v>29.900000000000002</v>
      </c>
      <c r="T20" s="26">
        <v>0</v>
      </c>
      <c r="U20" s="26">
        <v>0</v>
      </c>
      <c r="V20" s="150">
        <v>0</v>
      </c>
    </row>
    <row r="21" spans="1:22" ht="12" customHeight="1">
      <c r="A21" s="13" t="s">
        <v>40</v>
      </c>
      <c r="B21" s="11"/>
      <c r="C21" s="11"/>
      <c r="D21" s="26">
        <v>587.65</v>
      </c>
      <c r="E21" s="39">
        <v>550.75</v>
      </c>
      <c r="F21" s="26">
        <v>3570.6</v>
      </c>
      <c r="G21" s="26">
        <v>3318.5</v>
      </c>
      <c r="H21" s="26">
        <v>3596.9</v>
      </c>
      <c r="I21" s="26">
        <v>4342.0999999999995</v>
      </c>
      <c r="J21" s="28">
        <v>2598.3999999999996</v>
      </c>
      <c r="K21" s="7"/>
      <c r="L21" s="36"/>
      <c r="M21" s="13" t="s">
        <v>39</v>
      </c>
      <c r="N21" s="26"/>
      <c r="O21" s="26"/>
      <c r="P21" s="26"/>
      <c r="Q21" s="39"/>
      <c r="R21" s="26" t="s">
        <v>28</v>
      </c>
      <c r="S21" s="26">
        <v>0</v>
      </c>
      <c r="T21" s="26">
        <v>0</v>
      </c>
      <c r="U21" s="26">
        <v>0</v>
      </c>
      <c r="V21" s="150" t="s">
        <v>28</v>
      </c>
    </row>
    <row r="22" spans="1:22" ht="12" customHeight="1">
      <c r="A22" s="13" t="s">
        <v>42</v>
      </c>
      <c r="B22" s="11"/>
      <c r="C22" s="11"/>
      <c r="D22" s="11"/>
      <c r="E22" s="161">
        <v>0</v>
      </c>
      <c r="F22" s="26">
        <v>-19.8</v>
      </c>
      <c r="G22" s="26">
        <v>-51.900000000000006</v>
      </c>
      <c r="H22" s="26">
        <v>313.09999999999997</v>
      </c>
      <c r="I22" s="26">
        <v>-71.5</v>
      </c>
      <c r="J22" s="28">
        <v>82.5</v>
      </c>
      <c r="K22" s="7"/>
      <c r="L22" s="7"/>
      <c r="M22" s="13" t="s">
        <v>41</v>
      </c>
      <c r="N22" s="26"/>
      <c r="O22" s="26"/>
      <c r="P22" s="26"/>
      <c r="Q22" s="39"/>
      <c r="R22" s="26">
        <v>0</v>
      </c>
      <c r="S22" s="26">
        <v>0</v>
      </c>
      <c r="T22" s="26">
        <v>0</v>
      </c>
      <c r="U22" s="26">
        <v>0</v>
      </c>
      <c r="V22" s="150">
        <v>0</v>
      </c>
    </row>
    <row r="23" spans="1:22" ht="12" customHeight="1">
      <c r="A23" s="13" t="s">
        <v>44</v>
      </c>
      <c r="B23" s="11"/>
      <c r="C23" s="11"/>
      <c r="D23" s="11"/>
      <c r="E23" s="161">
        <v>0</v>
      </c>
      <c r="F23" s="11"/>
      <c r="G23" s="11"/>
      <c r="H23" s="169">
        <v>0</v>
      </c>
      <c r="I23" s="37"/>
      <c r="J23" s="38"/>
      <c r="K23" s="7"/>
      <c r="L23" s="7"/>
      <c r="M23" s="13" t="s">
        <v>43</v>
      </c>
      <c r="N23" s="26"/>
      <c r="O23" s="26"/>
      <c r="P23" s="26">
        <v>177.35</v>
      </c>
      <c r="Q23" s="39">
        <v>258.31</v>
      </c>
      <c r="R23" s="26">
        <v>1379.9</v>
      </c>
      <c r="S23" s="26">
        <v>820.40000000000009</v>
      </c>
      <c r="T23" s="26">
        <v>1040.3</v>
      </c>
      <c r="U23" s="26">
        <v>355.20000000000005</v>
      </c>
      <c r="V23" s="150">
        <v>366.2</v>
      </c>
    </row>
    <row r="24" spans="1:22" ht="12" customHeight="1">
      <c r="A24" s="15" t="s">
        <v>46</v>
      </c>
      <c r="B24" s="16">
        <f t="shared" ref="B24:E24" si="13">(B16-B20-B21+B22+B23)</f>
        <v>0</v>
      </c>
      <c r="C24" s="16">
        <f t="shared" si="13"/>
        <v>0</v>
      </c>
      <c r="D24" s="16">
        <f t="shared" si="13"/>
        <v>635.70000000000061</v>
      </c>
      <c r="E24" s="17">
        <f t="shared" si="13"/>
        <v>894.70999999999935</v>
      </c>
      <c r="F24" s="16">
        <f>(F16-F20-F21+F22+F23)</f>
        <v>-21.499999999998455</v>
      </c>
      <c r="G24" s="16">
        <f>G16-G20-G21+G22+G23</f>
        <v>2857.7999999999979</v>
      </c>
      <c r="H24" s="16">
        <f>H16-H20-H21+H22+H23</f>
        <v>554.40000000000146</v>
      </c>
      <c r="I24" s="16">
        <f>I16-I20-I21+I22+I23</f>
        <v>682.40000000000418</v>
      </c>
      <c r="J24" s="18">
        <f>J16-J20-J21+J22+J23</f>
        <v>167.39999999999918</v>
      </c>
      <c r="K24" s="7"/>
      <c r="L24" s="7"/>
      <c r="M24" s="13" t="s">
        <v>45</v>
      </c>
      <c r="N24" s="26"/>
      <c r="O24" s="26"/>
      <c r="P24" s="26"/>
      <c r="Q24" s="39"/>
      <c r="R24" s="26">
        <v>0.2</v>
      </c>
      <c r="S24" s="26">
        <v>82.300000000000011</v>
      </c>
      <c r="T24" s="26">
        <v>1041.3</v>
      </c>
      <c r="U24" s="26">
        <v>1145.9000000000001</v>
      </c>
      <c r="V24" s="150">
        <v>1155.9000000000001</v>
      </c>
    </row>
    <row r="25" spans="1:22" ht="12" customHeight="1">
      <c r="A25" s="13" t="s">
        <v>48</v>
      </c>
      <c r="B25" s="11"/>
      <c r="C25" s="26"/>
      <c r="D25" s="141">
        <v>-0.76</v>
      </c>
      <c r="E25" s="39"/>
      <c r="F25" s="26">
        <v>21.5</v>
      </c>
      <c r="G25" s="26">
        <v>440.7</v>
      </c>
      <c r="H25" s="26">
        <v>563.69999999999993</v>
      </c>
      <c r="I25" s="26">
        <v>744.5</v>
      </c>
      <c r="J25" s="28">
        <v>243.4</v>
      </c>
      <c r="K25" s="7"/>
      <c r="L25" s="7"/>
      <c r="M25" s="13" t="s">
        <v>47</v>
      </c>
      <c r="N25" s="26"/>
      <c r="O25" s="26"/>
      <c r="P25" s="26">
        <v>232.21</v>
      </c>
      <c r="Q25" s="39">
        <v>293.25</v>
      </c>
      <c r="R25" s="26">
        <v>3555.5</v>
      </c>
      <c r="S25" s="26">
        <v>3512.5</v>
      </c>
      <c r="T25" s="26">
        <v>3372.3</v>
      </c>
      <c r="U25" s="26">
        <v>4590.6000000000004</v>
      </c>
      <c r="V25" s="150">
        <v>4717.7</v>
      </c>
    </row>
    <row r="26" spans="1:22" ht="12" customHeight="1">
      <c r="A26" s="13" t="s">
        <v>50</v>
      </c>
      <c r="B26" s="11"/>
      <c r="C26" s="26"/>
      <c r="D26" s="26"/>
      <c r="E26" s="39"/>
      <c r="F26" s="26">
        <f>(-K26)*10</f>
        <v>0</v>
      </c>
      <c r="G26" s="26">
        <v>0</v>
      </c>
      <c r="H26" s="26">
        <v>0</v>
      </c>
      <c r="I26" s="26">
        <v>0</v>
      </c>
      <c r="J26" s="28">
        <v>0</v>
      </c>
      <c r="K26" s="7"/>
      <c r="L26" s="7"/>
      <c r="M26" s="13" t="s">
        <v>49</v>
      </c>
      <c r="N26" s="26"/>
      <c r="O26" s="26"/>
      <c r="P26" s="26">
        <v>120.16</v>
      </c>
      <c r="Q26" s="39">
        <v>121.77</v>
      </c>
      <c r="R26" s="26">
        <v>1470.2</v>
      </c>
      <c r="S26" s="26">
        <v>1106.3</v>
      </c>
      <c r="T26" s="26">
        <v>1076.5</v>
      </c>
      <c r="U26" s="26">
        <v>2722.1</v>
      </c>
      <c r="V26" s="150">
        <v>3886.4</v>
      </c>
    </row>
    <row r="27" spans="1:22" ht="12" customHeight="1">
      <c r="A27" s="13" t="s">
        <v>52</v>
      </c>
      <c r="B27" s="11"/>
      <c r="C27" s="26"/>
      <c r="D27" s="141">
        <v>-46.77</v>
      </c>
      <c r="E27" s="39">
        <v>16.71</v>
      </c>
      <c r="F27" s="26">
        <v>-3.7</v>
      </c>
      <c r="G27" s="26">
        <v>941.5</v>
      </c>
      <c r="H27" s="26">
        <v>-674.5</v>
      </c>
      <c r="I27" s="26">
        <v>-482.1</v>
      </c>
      <c r="J27" s="28">
        <v>-53.2</v>
      </c>
      <c r="K27" s="7"/>
      <c r="L27" s="7"/>
      <c r="M27" s="13" t="s">
        <v>51</v>
      </c>
      <c r="N27" s="26"/>
      <c r="O27" s="26"/>
      <c r="P27" s="26">
        <v>0</v>
      </c>
      <c r="Q27" s="39">
        <v>0</v>
      </c>
      <c r="R27" s="26">
        <v>2437.9</v>
      </c>
      <c r="S27" s="26">
        <v>1514.1</v>
      </c>
      <c r="T27" s="26">
        <v>2199.4</v>
      </c>
      <c r="U27" s="26">
        <v>2677.7</v>
      </c>
      <c r="V27" s="150">
        <v>2739.3</v>
      </c>
    </row>
    <row r="28" spans="1:22" ht="12" customHeight="1">
      <c r="A28" s="13" t="s">
        <v>53</v>
      </c>
      <c r="B28" s="11"/>
      <c r="C28" s="26"/>
      <c r="D28" s="26">
        <f t="shared" ref="D28:E28" si="14">SUM(D25:D27)</f>
        <v>-47.53</v>
      </c>
      <c r="E28" s="39">
        <f t="shared" si="14"/>
        <v>16.71</v>
      </c>
      <c r="F28" s="26">
        <f>(SUM(F25:F27))</f>
        <v>17.8</v>
      </c>
      <c r="G28" s="26">
        <f>(SUM(G25:G27))</f>
        <v>1382.2</v>
      </c>
      <c r="H28" s="26">
        <f>(SUM(H25:H27))</f>
        <v>-110.80000000000007</v>
      </c>
      <c r="I28" s="26">
        <f>(SUM(I25:I27))</f>
        <v>262.39999999999998</v>
      </c>
      <c r="J28" s="28">
        <f>(SUM(J25:J27))</f>
        <v>190.2</v>
      </c>
      <c r="K28" s="7"/>
      <c r="L28" s="7"/>
      <c r="M28" s="13" t="s">
        <v>134</v>
      </c>
      <c r="N28" s="26"/>
      <c r="O28" s="26"/>
      <c r="P28" s="26">
        <v>64.16</v>
      </c>
      <c r="Q28" s="39">
        <v>64.87</v>
      </c>
      <c r="R28" s="26">
        <v>459.90000000000003</v>
      </c>
      <c r="S28" s="26">
        <v>509</v>
      </c>
      <c r="T28" s="26">
        <v>571.4</v>
      </c>
      <c r="U28" s="26">
        <v>747.30000000000007</v>
      </c>
      <c r="V28" s="150">
        <v>630.20000000000005</v>
      </c>
    </row>
    <row r="29" spans="1:22" ht="12" customHeight="1">
      <c r="A29" s="20" t="s">
        <v>54</v>
      </c>
      <c r="B29" s="21">
        <v>0</v>
      </c>
      <c r="C29" s="21">
        <v>0</v>
      </c>
      <c r="D29" s="21">
        <f t="shared" ref="D29:F29" si="15">(D28/D24)</f>
        <v>-7.4767972313984507E-2</v>
      </c>
      <c r="E29" s="22">
        <f t="shared" si="15"/>
        <v>1.8676442646220578E-2</v>
      </c>
      <c r="F29" s="21">
        <f t="shared" si="15"/>
        <v>-0.82790697674424563</v>
      </c>
      <c r="G29" s="21">
        <f t="shared" ref="G29:J29" si="16">(G28/G24)</f>
        <v>0.48365875848554868</v>
      </c>
      <c r="H29" s="21">
        <f t="shared" si="16"/>
        <v>-0.19985569985569945</v>
      </c>
      <c r="I29" s="21">
        <f t="shared" si="16"/>
        <v>0.38452520515826255</v>
      </c>
      <c r="J29" s="23">
        <f t="shared" si="16"/>
        <v>1.1362007168458836</v>
      </c>
      <c r="K29" s="7"/>
      <c r="L29" s="7"/>
      <c r="M29" s="13"/>
      <c r="N29" s="26"/>
      <c r="O29" s="26"/>
      <c r="P29" s="26"/>
      <c r="Q29" s="39"/>
      <c r="R29" s="26"/>
      <c r="S29" s="165"/>
      <c r="T29" s="82"/>
      <c r="U29" s="82"/>
      <c r="V29" s="147"/>
    </row>
    <row r="30" spans="1:22" ht="12" customHeight="1">
      <c r="A30" s="15" t="s">
        <v>65</v>
      </c>
      <c r="B30" s="16">
        <f t="shared" ref="B30:C30" si="17">(B24-B25)</f>
        <v>0</v>
      </c>
      <c r="C30" s="16">
        <f t="shared" si="17"/>
        <v>0</v>
      </c>
      <c r="D30" s="16">
        <f t="shared" ref="D30:E30" si="18">D24-D28</f>
        <v>683.23000000000059</v>
      </c>
      <c r="E30" s="17">
        <f t="shared" si="18"/>
        <v>877.99999999999932</v>
      </c>
      <c r="F30" s="16">
        <f>F24-F28</f>
        <v>-39.299999999998455</v>
      </c>
      <c r="G30" s="16">
        <f t="shared" ref="G30:I30" si="19">(G24-G28)</f>
        <v>1475.5999999999979</v>
      </c>
      <c r="H30" s="16">
        <f t="shared" si="19"/>
        <v>665.20000000000152</v>
      </c>
      <c r="I30" s="16">
        <f t="shared" si="19"/>
        <v>420.00000000000421</v>
      </c>
      <c r="J30" s="18">
        <f>(J24-J28)</f>
        <v>-22.800000000000807</v>
      </c>
      <c r="K30" s="7"/>
      <c r="L30" s="7"/>
      <c r="M30" s="15" t="s">
        <v>55</v>
      </c>
      <c r="N30" s="16">
        <f t="shared" ref="N30:V30" si="20">SUM(N31:N39)</f>
        <v>0</v>
      </c>
      <c r="O30" s="16">
        <f t="shared" si="20"/>
        <v>0</v>
      </c>
      <c r="P30" s="16">
        <f t="shared" si="20"/>
        <v>2164.9699999999998</v>
      </c>
      <c r="Q30" s="17">
        <f t="shared" si="20"/>
        <v>2254.4300000000003</v>
      </c>
      <c r="R30" s="16">
        <f t="shared" si="20"/>
        <v>73868.60000000002</v>
      </c>
      <c r="S30" s="90">
        <f>SUM(S31:S39)</f>
        <v>77136.5</v>
      </c>
      <c r="T30" s="90">
        <f t="shared" si="20"/>
        <v>90174.3</v>
      </c>
      <c r="U30" s="16">
        <f t="shared" si="20"/>
        <v>103377.90000000001</v>
      </c>
      <c r="V30" s="146">
        <f t="shared" si="20"/>
        <v>113962.5</v>
      </c>
    </row>
    <row r="31" spans="1:22" ht="12" customHeight="1">
      <c r="A31" s="15" t="s">
        <v>57</v>
      </c>
      <c r="B31" s="33">
        <v>0</v>
      </c>
      <c r="C31" s="33">
        <v>0</v>
      </c>
      <c r="D31" s="33">
        <f t="shared" ref="D31:F31" si="21">D30/D4</f>
        <v>7.8126375756272945E-2</v>
      </c>
      <c r="E31" s="34">
        <f t="shared" si="21"/>
        <v>0.10453799682337832</v>
      </c>
      <c r="F31" s="33">
        <f t="shared" si="21"/>
        <v>-4.0790484296180903E-3</v>
      </c>
      <c r="G31" s="33">
        <f>G30/G4</f>
        <v>0.15456164240075393</v>
      </c>
      <c r="H31" s="33">
        <f>H30/H4</f>
        <v>5.3828786910185673E-2</v>
      </c>
      <c r="I31" s="33">
        <f>I30/I4</f>
        <v>1.9219680953296365E-2</v>
      </c>
      <c r="J31" s="35">
        <f>J30/J4</f>
        <v>-1.9759591635106909E-3</v>
      </c>
      <c r="K31" s="7"/>
      <c r="L31" s="7"/>
      <c r="M31" s="13" t="s">
        <v>56</v>
      </c>
      <c r="N31" s="26"/>
      <c r="O31" s="26"/>
      <c r="P31" s="26">
        <v>1273.1400000000001</v>
      </c>
      <c r="Q31" s="39">
        <v>1264.5</v>
      </c>
      <c r="R31" s="26">
        <v>64115.3</v>
      </c>
      <c r="S31" s="26">
        <v>68195.899999999994</v>
      </c>
      <c r="T31" s="26">
        <v>76229.899999999994</v>
      </c>
      <c r="U31" s="26">
        <v>84650</v>
      </c>
      <c r="V31" s="150">
        <v>94069.5</v>
      </c>
    </row>
    <row r="32" spans="1:22" ht="12" customHeight="1">
      <c r="A32" s="20" t="s">
        <v>22</v>
      </c>
      <c r="B32" s="33"/>
      <c r="C32" s="33"/>
      <c r="D32" s="33"/>
      <c r="E32" s="34"/>
      <c r="F32" s="21"/>
      <c r="G32" s="21"/>
      <c r="H32" s="21"/>
      <c r="I32" s="21">
        <f>+((I30/F30)^(1/3)-1)*(-1)</f>
        <v>3.202684251175925</v>
      </c>
      <c r="J32" s="23"/>
      <c r="K32" s="7"/>
      <c r="L32" s="7"/>
      <c r="M32" s="13" t="s">
        <v>41</v>
      </c>
      <c r="N32" s="26"/>
      <c r="O32" s="26"/>
      <c r="P32" s="26"/>
      <c r="Q32" s="39"/>
      <c r="R32" s="26">
        <v>0</v>
      </c>
      <c r="S32" s="26">
        <v>0</v>
      </c>
      <c r="T32" s="26">
        <v>0</v>
      </c>
      <c r="U32" s="26">
        <v>0</v>
      </c>
      <c r="V32" s="150">
        <v>0</v>
      </c>
    </row>
    <row r="33" spans="1:22" ht="12" customHeight="1">
      <c r="A33" s="3" t="s">
        <v>68</v>
      </c>
      <c r="B33" s="43"/>
      <c r="C33" s="43"/>
      <c r="D33" s="43"/>
      <c r="E33" s="141">
        <v>87.07</v>
      </c>
      <c r="F33" s="26">
        <v>-14.1</v>
      </c>
      <c r="G33" s="26">
        <v>-15.2</v>
      </c>
      <c r="H33" s="26">
        <v>-31.9</v>
      </c>
      <c r="I33" s="26">
        <v>3.9000000000000004</v>
      </c>
      <c r="J33" s="28">
        <v>-25.099999999999998</v>
      </c>
      <c r="K33" s="7"/>
      <c r="L33" s="7"/>
      <c r="M33" s="13" t="s">
        <v>58</v>
      </c>
      <c r="N33" s="26"/>
      <c r="O33" s="26"/>
      <c r="P33" s="26">
        <v>524.36</v>
      </c>
      <c r="Q33" s="39">
        <v>502.96</v>
      </c>
      <c r="R33" s="26">
        <v>3069.1000000000004</v>
      </c>
      <c r="S33" s="26">
        <v>2420.5</v>
      </c>
      <c r="T33" s="26">
        <v>5320.8</v>
      </c>
      <c r="U33" s="26">
        <v>4943.3</v>
      </c>
      <c r="V33" s="150">
        <v>4632.5</v>
      </c>
    </row>
    <row r="34" spans="1:22" ht="12" customHeight="1">
      <c r="A34" s="15" t="s">
        <v>70</v>
      </c>
      <c r="B34" s="40"/>
      <c r="C34" s="40"/>
      <c r="D34" s="41"/>
      <c r="E34" s="167" t="e">
        <f>SUM(#REF!+E33)</f>
        <v>#REF!</v>
      </c>
      <c r="F34" s="41">
        <f t="shared" ref="F34:J34" si="22">SUM(F30+F33)</f>
        <v>-53.399999999998457</v>
      </c>
      <c r="G34" s="41">
        <f t="shared" si="22"/>
        <v>1460.3999999999978</v>
      </c>
      <c r="H34" s="41">
        <f t="shared" si="22"/>
        <v>633.30000000000155</v>
      </c>
      <c r="I34" s="41">
        <f t="shared" si="22"/>
        <v>423.90000000000418</v>
      </c>
      <c r="J34" s="25">
        <f t="shared" si="22"/>
        <v>-47.900000000000801</v>
      </c>
      <c r="K34" s="7"/>
      <c r="L34" s="7"/>
      <c r="M34" s="13" t="s">
        <v>59</v>
      </c>
      <c r="N34" s="26"/>
      <c r="O34" s="26"/>
      <c r="P34" s="26">
        <v>54.46</v>
      </c>
      <c r="Q34" s="39">
        <v>39.24</v>
      </c>
      <c r="R34" s="26">
        <v>1598.8</v>
      </c>
      <c r="S34" s="26">
        <v>2751.1000000000004</v>
      </c>
      <c r="T34" s="26">
        <v>3449.9</v>
      </c>
      <c r="U34" s="26">
        <v>9064</v>
      </c>
      <c r="V34" s="150">
        <v>8922.7999999999993</v>
      </c>
    </row>
    <row r="35" spans="1:22" ht="12" customHeight="1">
      <c r="A35" s="13"/>
      <c r="B35" s="45"/>
      <c r="C35" s="45"/>
      <c r="D35" s="45"/>
      <c r="E35" s="32"/>
      <c r="F35" s="45"/>
      <c r="G35" s="45"/>
      <c r="H35" s="26"/>
      <c r="I35" s="26"/>
      <c r="J35" s="28"/>
      <c r="K35" s="7"/>
      <c r="L35" s="7"/>
      <c r="M35" s="13" t="s">
        <v>60</v>
      </c>
      <c r="N35" s="26"/>
      <c r="O35" s="26"/>
      <c r="P35" s="26">
        <v>47.33</v>
      </c>
      <c r="Q35" s="39">
        <v>49.97</v>
      </c>
      <c r="R35" s="26">
        <v>43</v>
      </c>
      <c r="S35" s="26">
        <v>250.7</v>
      </c>
      <c r="T35" s="26">
        <v>123.6</v>
      </c>
      <c r="U35" s="26">
        <v>247.3</v>
      </c>
      <c r="V35" s="150">
        <v>471.7</v>
      </c>
    </row>
    <row r="36" spans="1:22" ht="12" customHeight="1">
      <c r="A36" s="3" t="s">
        <v>73</v>
      </c>
      <c r="B36" s="43"/>
      <c r="C36" s="10"/>
      <c r="D36" s="10"/>
      <c r="E36" s="27"/>
      <c r="F36" s="10"/>
      <c r="G36" s="10"/>
      <c r="H36" s="26"/>
      <c r="I36" s="26"/>
      <c r="J36" s="28"/>
      <c r="K36" s="7"/>
      <c r="L36" s="7"/>
      <c r="M36" s="13" t="s">
        <v>61</v>
      </c>
      <c r="N36" s="26"/>
      <c r="O36" s="26"/>
      <c r="P36" s="26"/>
      <c r="Q36" s="39"/>
      <c r="R36" s="26">
        <v>841.1</v>
      </c>
      <c r="S36" s="26">
        <v>841</v>
      </c>
      <c r="T36" s="26">
        <v>0</v>
      </c>
      <c r="U36" s="26">
        <v>0</v>
      </c>
      <c r="V36" s="150">
        <v>0</v>
      </c>
    </row>
    <row r="37" spans="1:22" ht="12" customHeight="1" thickBot="1">
      <c r="A37" s="46" t="s">
        <v>136</v>
      </c>
      <c r="B37" s="47"/>
      <c r="C37" s="48"/>
      <c r="D37" s="49"/>
      <c r="E37" s="168">
        <v>9.4</v>
      </c>
      <c r="F37" s="170">
        <v>-1.7000000000000002</v>
      </c>
      <c r="G37" s="170">
        <v>62.199999999999996</v>
      </c>
      <c r="H37" s="170">
        <v>28</v>
      </c>
      <c r="I37" s="170">
        <v>17.7</v>
      </c>
      <c r="J37" s="171">
        <v>-0.70000000000000007</v>
      </c>
      <c r="K37" s="7"/>
      <c r="L37" s="7"/>
      <c r="M37" s="13" t="s">
        <v>62</v>
      </c>
      <c r="N37" s="26"/>
      <c r="O37" s="26"/>
      <c r="P37" s="26">
        <v>97.08</v>
      </c>
      <c r="Q37" s="39">
        <v>160.26</v>
      </c>
      <c r="R37" s="26">
        <v>522.70000000000005</v>
      </c>
      <c r="S37" s="26">
        <v>647.5</v>
      </c>
      <c r="T37" s="26">
        <v>1803.6000000000001</v>
      </c>
      <c r="U37" s="26">
        <v>1082.0999999999999</v>
      </c>
      <c r="V37" s="150">
        <v>1116.7</v>
      </c>
    </row>
    <row r="38" spans="1:22" ht="12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13" t="s">
        <v>63</v>
      </c>
      <c r="N38" s="26"/>
      <c r="O38" s="26"/>
      <c r="P38" s="26"/>
      <c r="Q38" s="39"/>
      <c r="R38" s="26">
        <v>0</v>
      </c>
      <c r="S38" s="26">
        <v>0</v>
      </c>
      <c r="T38" s="26">
        <v>0</v>
      </c>
      <c r="U38" s="26">
        <v>0</v>
      </c>
      <c r="V38" s="150">
        <v>0</v>
      </c>
    </row>
    <row r="39" spans="1:22" ht="12" customHeight="1" thickBot="1">
      <c r="A39" s="2" t="s">
        <v>78</v>
      </c>
      <c r="B39" s="7"/>
      <c r="C39" s="7"/>
      <c r="D39" s="7"/>
      <c r="E39" s="7"/>
      <c r="F39" s="7"/>
      <c r="G39" s="7"/>
      <c r="H39" s="2"/>
      <c r="I39" s="2"/>
      <c r="J39" s="2"/>
      <c r="K39" s="7"/>
      <c r="L39" s="7"/>
      <c r="M39" s="13" t="s">
        <v>64</v>
      </c>
      <c r="N39" s="26"/>
      <c r="O39" s="26"/>
      <c r="P39" s="26">
        <v>168.6</v>
      </c>
      <c r="Q39" s="39">
        <v>237.5</v>
      </c>
      <c r="R39" s="26">
        <v>3678.6000000000004</v>
      </c>
      <c r="S39" s="26">
        <v>2029.8</v>
      </c>
      <c r="T39" s="26">
        <v>3246.5</v>
      </c>
      <c r="U39" s="26">
        <v>3391.2</v>
      </c>
      <c r="V39" s="150">
        <v>4749.3</v>
      </c>
    </row>
    <row r="40" spans="1:22" ht="12" customHeight="1">
      <c r="A40" s="50" t="s">
        <v>79</v>
      </c>
      <c r="B40" s="51" t="s">
        <v>3</v>
      </c>
      <c r="C40" s="51" t="s">
        <v>4</v>
      </c>
      <c r="D40" s="51" t="s">
        <v>5</v>
      </c>
      <c r="E40" s="51" t="s">
        <v>6</v>
      </c>
      <c r="F40" s="51" t="s">
        <v>7</v>
      </c>
      <c r="G40" s="52" t="s">
        <v>8</v>
      </c>
      <c r="H40" s="53" t="s">
        <v>9</v>
      </c>
      <c r="I40" s="54" t="s">
        <v>12</v>
      </c>
      <c r="J40" s="55" t="s">
        <v>11</v>
      </c>
      <c r="K40" s="7"/>
      <c r="L40" s="7"/>
      <c r="M40" s="42"/>
      <c r="N40" s="139"/>
      <c r="O40" s="139"/>
      <c r="P40" s="139"/>
      <c r="Q40" s="139"/>
      <c r="R40" s="26">
        <v>0</v>
      </c>
      <c r="S40" s="26">
        <v>0</v>
      </c>
      <c r="T40" s="26">
        <v>0</v>
      </c>
      <c r="U40" s="26">
        <v>0</v>
      </c>
      <c r="V40" s="150">
        <v>0</v>
      </c>
    </row>
    <row r="41" spans="1:22" ht="12" customHeight="1">
      <c r="A41" s="3" t="s">
        <v>81</v>
      </c>
      <c r="B41" s="26"/>
      <c r="C41" s="26"/>
      <c r="D41" s="26">
        <v>20.010000000000002</v>
      </c>
      <c r="E41" s="26">
        <v>-559.33000000000004</v>
      </c>
      <c r="F41" s="26">
        <v>-298.09999999999997</v>
      </c>
      <c r="G41" s="11">
        <f>F46</f>
        <v>252.5000000000004</v>
      </c>
      <c r="H41" s="11">
        <f>G46</f>
        <v>1557.7999999999997</v>
      </c>
      <c r="I41" s="11">
        <f t="shared" ref="I41:J41" si="23">H46</f>
        <v>2548.6999999999998</v>
      </c>
      <c r="J41" s="172">
        <f t="shared" si="23"/>
        <v>8515.7999999999993</v>
      </c>
      <c r="K41" s="7"/>
      <c r="L41" s="7"/>
      <c r="M41" s="13" t="s">
        <v>66</v>
      </c>
      <c r="N41" s="26"/>
      <c r="O41" s="26"/>
      <c r="P41" s="26"/>
      <c r="Q41" s="39"/>
      <c r="R41" s="26">
        <v>0</v>
      </c>
      <c r="S41" s="26">
        <v>555.6</v>
      </c>
      <c r="T41" s="26">
        <v>0</v>
      </c>
      <c r="U41" s="26">
        <v>0</v>
      </c>
      <c r="V41" s="150">
        <v>0</v>
      </c>
    </row>
    <row r="42" spans="1:22" ht="12" customHeight="1">
      <c r="A42" s="3" t="s">
        <v>83</v>
      </c>
      <c r="B42" s="26"/>
      <c r="C42" s="26"/>
      <c r="D42" s="26">
        <v>1020.02</v>
      </c>
      <c r="E42" s="26">
        <v>940.03</v>
      </c>
      <c r="F42" s="26">
        <v>2441.9</v>
      </c>
      <c r="G42" s="26">
        <v>1336.5</v>
      </c>
      <c r="H42" s="26">
        <v>1451.9</v>
      </c>
      <c r="I42" s="26">
        <v>8963.9</v>
      </c>
      <c r="J42" s="172">
        <v>-4079.9</v>
      </c>
      <c r="K42" s="7"/>
      <c r="L42" s="7"/>
      <c r="M42" s="42"/>
      <c r="N42" s="139"/>
      <c r="O42" s="139"/>
      <c r="P42" s="139"/>
      <c r="Q42" s="139"/>
      <c r="R42" s="26"/>
      <c r="S42" s="91"/>
      <c r="T42" s="91"/>
      <c r="U42" s="82"/>
      <c r="V42" s="147"/>
    </row>
    <row r="43" spans="1:22" ht="12" customHeight="1">
      <c r="A43" s="13" t="s">
        <v>85</v>
      </c>
      <c r="B43" s="26"/>
      <c r="C43" s="26"/>
      <c r="D43" s="26">
        <v>-356.94</v>
      </c>
      <c r="E43" s="26">
        <v>-247</v>
      </c>
      <c r="F43" s="26">
        <v>238.79999999999998</v>
      </c>
      <c r="G43" s="26">
        <v>5254.5</v>
      </c>
      <c r="H43" s="26">
        <v>947.90000000000009</v>
      </c>
      <c r="I43" s="26">
        <v>129.19999999999999</v>
      </c>
      <c r="J43" s="172">
        <v>-251.8</v>
      </c>
      <c r="K43" s="7"/>
      <c r="L43" s="7"/>
      <c r="M43" s="15" t="s">
        <v>67</v>
      </c>
      <c r="N43" s="16">
        <f t="shared" ref="N43:O43" si="24">SUM(N44:N46)</f>
        <v>0</v>
      </c>
      <c r="O43" s="16">
        <f t="shared" si="24"/>
        <v>0</v>
      </c>
      <c r="P43" s="16">
        <f t="shared" ref="P43:Q43" si="25">SUM(P44:P49)</f>
        <v>2817.6</v>
      </c>
      <c r="Q43" s="17">
        <f t="shared" si="25"/>
        <v>2859.28</v>
      </c>
      <c r="R43" s="16">
        <f>SUM(R44:R50)</f>
        <v>36565.599999999999</v>
      </c>
      <c r="S43" s="90">
        <f>SUM(S44:S50)</f>
        <v>39141.9</v>
      </c>
      <c r="T43" s="16">
        <f>SUM(T44:T50)</f>
        <v>51096.499999999993</v>
      </c>
      <c r="U43" s="16">
        <f>SUM(U44:U50)</f>
        <v>65103.4</v>
      </c>
      <c r="V43" s="149">
        <f>SUM(V44:V50)</f>
        <v>70141.599999999991</v>
      </c>
    </row>
    <row r="44" spans="1:22" ht="12" customHeight="1">
      <c r="A44" s="13" t="s">
        <v>87</v>
      </c>
      <c r="B44" s="26"/>
      <c r="C44" s="26">
        <v>-213.01</v>
      </c>
      <c r="D44" s="26">
        <v>-213.01</v>
      </c>
      <c r="E44" s="26">
        <v>-213.01</v>
      </c>
      <c r="F44" s="26">
        <v>-2130.1</v>
      </c>
      <c r="G44" s="26">
        <v>-5285.7000000000007</v>
      </c>
      <c r="H44" s="26">
        <v>-1408.8999999999999</v>
      </c>
      <c r="I44" s="26">
        <v>-3126</v>
      </c>
      <c r="J44" s="172">
        <v>3851.7</v>
      </c>
      <c r="K44" s="7"/>
      <c r="L44" s="7"/>
      <c r="M44" s="44" t="s">
        <v>69</v>
      </c>
      <c r="N44" s="11"/>
      <c r="O44" s="11"/>
      <c r="P44" s="11"/>
      <c r="Q44" s="161"/>
      <c r="R44" s="11"/>
      <c r="S44" s="166"/>
      <c r="T44" s="91"/>
      <c r="U44" s="82"/>
      <c r="V44" s="147"/>
    </row>
    <row r="45" spans="1:22" ht="12" customHeight="1">
      <c r="A45" s="3" t="s">
        <v>89</v>
      </c>
      <c r="B45" s="26">
        <f t="shared" ref="B45:E45" si="26">+B42+B43+B44</f>
        <v>0</v>
      </c>
      <c r="C45" s="26">
        <f t="shared" si="26"/>
        <v>-213.01</v>
      </c>
      <c r="D45" s="26">
        <f t="shared" si="26"/>
        <v>450.06999999999994</v>
      </c>
      <c r="E45" s="26">
        <f t="shared" si="26"/>
        <v>480.02</v>
      </c>
      <c r="F45" s="26">
        <f>(F42+F43+F44)</f>
        <v>550.60000000000036</v>
      </c>
      <c r="G45" s="26">
        <f t="shared" ref="G45:J45" si="27">(G42+G43+G44)</f>
        <v>1305.2999999999993</v>
      </c>
      <c r="H45" s="26">
        <f t="shared" si="27"/>
        <v>990.90000000000032</v>
      </c>
      <c r="I45" s="26">
        <f t="shared" si="27"/>
        <v>5967.1</v>
      </c>
      <c r="J45" s="28">
        <f t="shared" si="27"/>
        <v>-480</v>
      </c>
      <c r="K45" s="7"/>
      <c r="L45" s="7"/>
      <c r="M45" s="44" t="s">
        <v>71</v>
      </c>
      <c r="N45" s="11"/>
      <c r="O45" s="11"/>
      <c r="P45" s="11">
        <v>0</v>
      </c>
      <c r="Q45" s="161">
        <v>0</v>
      </c>
      <c r="R45" s="26">
        <v>71.8</v>
      </c>
      <c r="S45" s="26">
        <v>88.9</v>
      </c>
      <c r="T45" s="26">
        <v>45.5</v>
      </c>
      <c r="U45" s="26">
        <v>91.199999999999989</v>
      </c>
      <c r="V45" s="150">
        <v>109.3</v>
      </c>
    </row>
    <row r="46" spans="1:22" ht="12" customHeight="1" thickBot="1">
      <c r="A46" s="46" t="s">
        <v>90</v>
      </c>
      <c r="B46" s="56">
        <f t="shared" ref="B46:E46" si="28">+B41+B45</f>
        <v>0</v>
      </c>
      <c r="C46" s="56">
        <f t="shared" si="28"/>
        <v>-213.01</v>
      </c>
      <c r="D46" s="56">
        <f t="shared" si="28"/>
        <v>470.07999999999993</v>
      </c>
      <c r="E46" s="56">
        <f t="shared" si="28"/>
        <v>-79.310000000000059</v>
      </c>
      <c r="F46" s="56">
        <f>+F41+F45</f>
        <v>252.5000000000004</v>
      </c>
      <c r="G46" s="56">
        <f t="shared" ref="G46:J46" si="29">G41+G45</f>
        <v>1557.7999999999997</v>
      </c>
      <c r="H46" s="56">
        <f t="shared" si="29"/>
        <v>2548.6999999999998</v>
      </c>
      <c r="I46" s="56">
        <f t="shared" si="29"/>
        <v>8515.7999999999993</v>
      </c>
      <c r="J46" s="57">
        <f t="shared" si="29"/>
        <v>8035.7999999999993</v>
      </c>
      <c r="K46" s="7"/>
      <c r="L46" s="7"/>
      <c r="M46" s="44" t="s">
        <v>72</v>
      </c>
      <c r="N46" s="11"/>
      <c r="O46" s="11"/>
      <c r="P46" s="11">
        <v>609.91</v>
      </c>
      <c r="Q46" s="161">
        <v>705.82</v>
      </c>
      <c r="R46" s="26">
        <f>(8.39+548.44)*10</f>
        <v>5568.3</v>
      </c>
      <c r="S46" s="26">
        <v>4345.6000000000004</v>
      </c>
      <c r="T46" s="26">
        <v>4911.3</v>
      </c>
      <c r="U46" s="26">
        <v>5637.5</v>
      </c>
      <c r="V46" s="150">
        <v>5537.2</v>
      </c>
    </row>
    <row r="47" spans="1:22" ht="12" customHeight="1" thickBot="1">
      <c r="A47" s="59"/>
      <c r="B47" s="60"/>
      <c r="C47" s="60"/>
      <c r="D47" s="60"/>
      <c r="E47" s="60"/>
      <c r="F47" s="61"/>
      <c r="G47" s="60"/>
      <c r="H47" s="60"/>
      <c r="I47" s="62"/>
      <c r="J47" s="63"/>
      <c r="K47" s="7"/>
      <c r="L47" s="7"/>
      <c r="M47" s="44" t="s">
        <v>74</v>
      </c>
      <c r="N47" s="11"/>
      <c r="O47" s="11"/>
      <c r="P47" s="11">
        <v>1538.76</v>
      </c>
      <c r="Q47" s="161">
        <v>1490.11</v>
      </c>
      <c r="R47" s="26">
        <v>323.7</v>
      </c>
      <c r="S47" s="26">
        <v>184.60000000000002</v>
      </c>
      <c r="T47" s="26">
        <v>297</v>
      </c>
      <c r="U47" s="26">
        <v>294.10000000000002</v>
      </c>
      <c r="V47" s="150">
        <v>201</v>
      </c>
    </row>
    <row r="48" spans="1:22" ht="12" customHeight="1">
      <c r="A48" s="65" t="s">
        <v>92</v>
      </c>
      <c r="B48" s="51" t="s">
        <v>3</v>
      </c>
      <c r="C48" s="51" t="s">
        <v>4</v>
      </c>
      <c r="D48" s="51" t="s">
        <v>5</v>
      </c>
      <c r="E48" s="51" t="s">
        <v>6</v>
      </c>
      <c r="F48" s="51" t="s">
        <v>7</v>
      </c>
      <c r="G48" s="52" t="s">
        <v>8</v>
      </c>
      <c r="H48" s="52" t="s">
        <v>9</v>
      </c>
      <c r="I48" s="51" t="s">
        <v>12</v>
      </c>
      <c r="J48" s="66" t="s">
        <v>11</v>
      </c>
      <c r="K48" s="7"/>
      <c r="L48" s="7"/>
      <c r="M48" s="44" t="s">
        <v>75</v>
      </c>
      <c r="N48" s="11"/>
      <c r="O48" s="11"/>
      <c r="P48" s="11">
        <v>469.83</v>
      </c>
      <c r="Q48" s="161">
        <v>445.82</v>
      </c>
      <c r="R48" s="26">
        <v>104.3</v>
      </c>
      <c r="S48" s="26">
        <v>113.3</v>
      </c>
      <c r="T48" s="26">
        <v>115.3</v>
      </c>
      <c r="U48" s="26">
        <v>185</v>
      </c>
      <c r="V48" s="150">
        <v>711.4</v>
      </c>
    </row>
    <row r="49" spans="1:22" ht="12" customHeight="1">
      <c r="A49" s="15" t="s">
        <v>94</v>
      </c>
      <c r="B49" s="16" t="e">
        <f t="shared" ref="B49:E49" si="30">SUM(#REF!)</f>
        <v>#REF!</v>
      </c>
      <c r="C49" s="16" t="e">
        <f t="shared" si="30"/>
        <v>#REF!</v>
      </c>
      <c r="D49" s="16" t="e">
        <f t="shared" si="30"/>
        <v>#REF!</v>
      </c>
      <c r="E49" s="16" t="e">
        <f t="shared" si="30"/>
        <v>#REF!</v>
      </c>
      <c r="F49" s="16">
        <f t="shared" ref="F49:J49" si="31">F42</f>
        <v>2441.9</v>
      </c>
      <c r="G49" s="17">
        <f t="shared" si="31"/>
        <v>1336.5</v>
      </c>
      <c r="H49" s="17">
        <f t="shared" si="31"/>
        <v>1451.9</v>
      </c>
      <c r="I49" s="16">
        <f t="shared" si="31"/>
        <v>8963.9</v>
      </c>
      <c r="J49" s="18">
        <f t="shared" si="31"/>
        <v>-4079.9</v>
      </c>
      <c r="K49" s="7"/>
      <c r="L49" s="7"/>
      <c r="M49" s="44" t="s">
        <v>76</v>
      </c>
      <c r="N49" s="11"/>
      <c r="O49" s="11"/>
      <c r="P49" s="11">
        <v>199.1</v>
      </c>
      <c r="Q49" s="161">
        <v>217.53</v>
      </c>
      <c r="R49" s="26">
        <v>30490.5</v>
      </c>
      <c r="S49" s="26">
        <v>34396.199999999997</v>
      </c>
      <c r="T49" s="26">
        <v>45659.199999999997</v>
      </c>
      <c r="U49" s="26">
        <v>58593.2</v>
      </c>
      <c r="V49" s="150">
        <v>63317</v>
      </c>
    </row>
    <row r="50" spans="1:22" ht="12" customHeight="1">
      <c r="A50" s="13" t="s">
        <v>96</v>
      </c>
      <c r="B50" s="69"/>
      <c r="C50" s="11">
        <f>-(O15-N15)</f>
        <v>0</v>
      </c>
      <c r="D50" s="11">
        <f>-261.33+3.88</f>
        <v>-257.45</v>
      </c>
      <c r="E50" s="11">
        <f>-156.85</f>
        <v>-156.85</v>
      </c>
      <c r="F50" s="129">
        <f>-(3.32-0.22)*10</f>
        <v>-30.999999999999996</v>
      </c>
      <c r="G50" s="128">
        <f>-(6.47-20.45)*10</f>
        <v>139.80000000000001</v>
      </c>
      <c r="H50" s="126">
        <f>-(29.58-24.59)*10</f>
        <v>-49.899999999999984</v>
      </c>
      <c r="I50" s="125">
        <f>-(54.49-0.66)*10</f>
        <v>-538.30000000000007</v>
      </c>
      <c r="J50" s="123">
        <f>-(16.52-0.49)*10</f>
        <v>-160.30000000000001</v>
      </c>
      <c r="K50" s="7"/>
      <c r="L50" s="7"/>
      <c r="M50" s="89" t="s">
        <v>133</v>
      </c>
      <c r="N50" s="139"/>
      <c r="O50" s="139"/>
      <c r="P50" s="139"/>
      <c r="Q50" s="139"/>
      <c r="R50" s="26">
        <v>7</v>
      </c>
      <c r="S50" s="26">
        <v>13.3</v>
      </c>
      <c r="T50" s="26">
        <v>68.2</v>
      </c>
      <c r="U50" s="26">
        <v>302.39999999999998</v>
      </c>
      <c r="V50" s="150">
        <v>265.7</v>
      </c>
    </row>
    <row r="51" spans="1:22" ht="12" customHeight="1" thickBot="1">
      <c r="A51" s="68" t="s">
        <v>97</v>
      </c>
      <c r="B51" s="70" t="e">
        <f t="shared" ref="B51:J51" si="32">SUM(B49:B50)</f>
        <v>#REF!</v>
      </c>
      <c r="C51" s="56" t="e">
        <f t="shared" si="32"/>
        <v>#REF!</v>
      </c>
      <c r="D51" s="56" t="e">
        <f t="shared" si="32"/>
        <v>#REF!</v>
      </c>
      <c r="E51" s="56" t="e">
        <f t="shared" si="32"/>
        <v>#REF!</v>
      </c>
      <c r="F51" s="102">
        <f t="shared" si="32"/>
        <v>2410.9</v>
      </c>
      <c r="G51" s="127">
        <f t="shared" si="32"/>
        <v>1476.3</v>
      </c>
      <c r="H51" s="127">
        <f t="shared" si="32"/>
        <v>1402</v>
      </c>
      <c r="I51" s="102">
        <f t="shared" si="32"/>
        <v>8425.6</v>
      </c>
      <c r="J51" s="124">
        <f t="shared" si="32"/>
        <v>-4240.2</v>
      </c>
      <c r="K51" s="7"/>
      <c r="L51" s="7"/>
      <c r="M51" s="15" t="s">
        <v>77</v>
      </c>
      <c r="N51" s="16">
        <f t="shared" ref="N51:U51" si="33">(N30-N43-N9)</f>
        <v>0</v>
      </c>
      <c r="O51" s="16">
        <f t="shared" si="33"/>
        <v>0</v>
      </c>
      <c r="P51" s="16">
        <f t="shared" si="33"/>
        <v>-2071.84</v>
      </c>
      <c r="Q51" s="17">
        <f t="shared" si="33"/>
        <v>-2192.6999999999998</v>
      </c>
      <c r="R51" s="16">
        <f t="shared" si="33"/>
        <v>14510.300000000021</v>
      </c>
      <c r="S51" s="90">
        <f t="shared" si="33"/>
        <v>17603.8</v>
      </c>
      <c r="T51" s="90">
        <f t="shared" si="33"/>
        <v>14472.400000000009</v>
      </c>
      <c r="U51" s="16">
        <f t="shared" si="33"/>
        <v>11213.800000000007</v>
      </c>
      <c r="V51" s="146">
        <f>(V30-V43-V9)</f>
        <v>8289.7000000000116</v>
      </c>
    </row>
    <row r="52" spans="1:22" ht="12" customHeight="1">
      <c r="A52" s="7" t="s">
        <v>99</v>
      </c>
      <c r="B52" s="7"/>
      <c r="C52" s="7"/>
      <c r="D52" s="7"/>
      <c r="E52" s="7"/>
      <c r="F52" s="19"/>
      <c r="G52" s="7"/>
      <c r="H52" s="7"/>
      <c r="I52" s="7"/>
      <c r="J52" s="7"/>
      <c r="K52" s="7"/>
      <c r="L52" s="7"/>
      <c r="M52" s="42"/>
      <c r="N52" s="139"/>
      <c r="O52" s="139"/>
      <c r="P52" s="139"/>
      <c r="Q52" s="139"/>
      <c r="R52" s="26"/>
      <c r="S52" s="91"/>
      <c r="T52" s="91"/>
      <c r="U52" s="82"/>
      <c r="V52" s="150"/>
    </row>
    <row r="53" spans="1:22" ht="12" customHeight="1" thickBo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13" t="s">
        <v>80</v>
      </c>
      <c r="N53" s="26"/>
      <c r="O53" s="26"/>
      <c r="P53" s="26"/>
      <c r="Q53" s="39"/>
      <c r="R53" s="26">
        <v>116</v>
      </c>
      <c r="S53" s="26">
        <v>98.699999999999989</v>
      </c>
      <c r="T53" s="26">
        <v>117.8</v>
      </c>
      <c r="U53" s="26">
        <v>84.1</v>
      </c>
      <c r="V53" s="150">
        <v>142.5</v>
      </c>
    </row>
    <row r="54" spans="1:22" ht="12" customHeight="1">
      <c r="A54" s="73" t="s">
        <v>102</v>
      </c>
      <c r="B54" s="74"/>
      <c r="C54" s="74"/>
      <c r="D54" s="75">
        <v>111695680</v>
      </c>
      <c r="E54" s="142">
        <v>111695680</v>
      </c>
      <c r="F54" s="173">
        <v>237149686</v>
      </c>
      <c r="G54" s="173">
        <v>237149686</v>
      </c>
      <c r="H54" s="173">
        <v>237149686</v>
      </c>
      <c r="I54" s="173">
        <v>237149686</v>
      </c>
      <c r="J54" s="173">
        <v>237149686</v>
      </c>
      <c r="K54" s="7"/>
      <c r="L54" s="7"/>
      <c r="M54" s="13" t="s">
        <v>82</v>
      </c>
      <c r="N54" s="26"/>
      <c r="O54" s="26"/>
      <c r="P54" s="26">
        <v>95.77</v>
      </c>
      <c r="Q54" s="39">
        <v>80.709999999999994</v>
      </c>
      <c r="R54" s="26">
        <v>0</v>
      </c>
      <c r="S54" s="26">
        <v>0</v>
      </c>
      <c r="T54" s="26">
        <v>0</v>
      </c>
      <c r="U54" s="26">
        <v>0</v>
      </c>
      <c r="V54" s="150">
        <v>0</v>
      </c>
    </row>
    <row r="55" spans="1:22" ht="12" customHeight="1">
      <c r="A55" s="13" t="s">
        <v>104</v>
      </c>
      <c r="B55" s="76">
        <f>B54*N66/1000000</f>
        <v>0</v>
      </c>
      <c r="C55" s="76">
        <f>C54*O66/1000000</f>
        <v>0</v>
      </c>
      <c r="D55" s="76">
        <f t="shared" ref="D55:E55" si="34">D54*P66/10000000</f>
        <v>5905.350601600001</v>
      </c>
      <c r="E55" s="76">
        <f t="shared" si="34"/>
        <v>11764.905974400001</v>
      </c>
      <c r="F55" s="100">
        <f>F54*R66/1000000</f>
        <v>16695.337894400003</v>
      </c>
      <c r="G55" s="100">
        <f t="shared" ref="G55:J55" si="35">G54*S66/1000000</f>
        <v>25256.441558999999</v>
      </c>
      <c r="H55" s="100">
        <f t="shared" si="35"/>
        <v>15455.04503662</v>
      </c>
      <c r="I55" s="100">
        <f t="shared" si="35"/>
        <v>49730.2891542</v>
      </c>
      <c r="J55" s="100">
        <f t="shared" si="35"/>
        <v>94373.717543699997</v>
      </c>
      <c r="K55" s="7"/>
      <c r="L55" s="7"/>
      <c r="M55" s="13" t="s">
        <v>84</v>
      </c>
      <c r="N55" s="26"/>
      <c r="O55" s="26"/>
      <c r="P55" s="26">
        <v>190.54</v>
      </c>
      <c r="Q55" s="39">
        <v>156.11000000000001</v>
      </c>
      <c r="R55" s="26">
        <v>201.8</v>
      </c>
      <c r="S55" s="26">
        <v>156.9</v>
      </c>
      <c r="T55" s="26">
        <v>0</v>
      </c>
      <c r="U55" s="26">
        <v>0</v>
      </c>
      <c r="V55" s="150">
        <v>0</v>
      </c>
    </row>
    <row r="56" spans="1:22" ht="12" customHeight="1">
      <c r="A56" s="13" t="s">
        <v>106</v>
      </c>
      <c r="B56" s="76">
        <f t="shared" ref="B56:J56" si="36">N10</f>
        <v>0</v>
      </c>
      <c r="C56" s="76">
        <f t="shared" si="36"/>
        <v>0</v>
      </c>
      <c r="D56" s="76">
        <f t="shared" si="36"/>
        <v>4702.24</v>
      </c>
      <c r="E56" s="76">
        <f t="shared" si="36"/>
        <v>4713.7999999999993</v>
      </c>
      <c r="F56" s="100">
        <f>R10</f>
        <v>28221.4</v>
      </c>
      <c r="G56" s="100">
        <f t="shared" si="36"/>
        <v>26110.3</v>
      </c>
      <c r="H56" s="100">
        <f t="shared" si="36"/>
        <v>29269.200000000001</v>
      </c>
      <c r="I56" s="100">
        <f t="shared" si="36"/>
        <v>32855.9</v>
      </c>
      <c r="J56" s="101">
        <f t="shared" si="36"/>
        <v>39799.699999999997</v>
      </c>
      <c r="K56" s="7"/>
      <c r="L56" s="7"/>
      <c r="M56" s="13" t="s">
        <v>86</v>
      </c>
      <c r="N56" s="26"/>
      <c r="O56" s="26"/>
      <c r="P56" s="26">
        <v>23.12</v>
      </c>
      <c r="Q56" s="39">
        <v>44.56</v>
      </c>
      <c r="R56" s="26">
        <v>183.6</v>
      </c>
      <c r="S56" s="26">
        <v>170.7</v>
      </c>
      <c r="T56" s="26">
        <v>13.600000000000001</v>
      </c>
      <c r="U56" s="26">
        <v>22.5</v>
      </c>
      <c r="V56" s="150">
        <v>3.2</v>
      </c>
    </row>
    <row r="57" spans="1:22" ht="11.25" customHeight="1">
      <c r="A57" s="13" t="s">
        <v>108</v>
      </c>
      <c r="B57" s="76">
        <f>N35</f>
        <v>0</v>
      </c>
      <c r="C57" s="76">
        <f>O35</f>
        <v>0</v>
      </c>
      <c r="D57" s="76">
        <f t="shared" ref="D57:J57" si="37">P35+P34</f>
        <v>101.78999999999999</v>
      </c>
      <c r="E57" s="76">
        <f t="shared" si="37"/>
        <v>89.210000000000008</v>
      </c>
      <c r="F57" s="100">
        <f>R35+R34</f>
        <v>1641.8</v>
      </c>
      <c r="G57" s="100">
        <f t="shared" si="37"/>
        <v>3001.8</v>
      </c>
      <c r="H57" s="100">
        <f t="shared" si="37"/>
        <v>3573.5</v>
      </c>
      <c r="I57" s="100">
        <f t="shared" si="37"/>
        <v>9311.2999999999993</v>
      </c>
      <c r="J57" s="101">
        <f t="shared" si="37"/>
        <v>9394.5</v>
      </c>
      <c r="K57" s="7"/>
      <c r="L57" s="7"/>
      <c r="M57" s="13" t="s">
        <v>88</v>
      </c>
      <c r="N57" s="10"/>
      <c r="O57" s="10"/>
      <c r="P57" s="10"/>
      <c r="Q57" s="27"/>
      <c r="R57" s="26">
        <v>61.6</v>
      </c>
      <c r="S57" s="26">
        <v>69.900000000000006</v>
      </c>
      <c r="T57" s="26">
        <v>121.5</v>
      </c>
      <c r="U57" s="26">
        <v>306.10000000000002</v>
      </c>
      <c r="V57" s="150">
        <v>285.89999999999998</v>
      </c>
    </row>
    <row r="58" spans="1:22" ht="12" customHeight="1" thickBot="1">
      <c r="A58" s="77" t="s">
        <v>110</v>
      </c>
      <c r="B58" s="56">
        <f t="shared" ref="B58:I58" si="38">B55+B56-B57</f>
        <v>0</v>
      </c>
      <c r="C58" s="56">
        <f t="shared" si="38"/>
        <v>0</v>
      </c>
      <c r="D58" s="56">
        <f t="shared" si="38"/>
        <v>10505.8006016</v>
      </c>
      <c r="E58" s="56">
        <f t="shared" si="38"/>
        <v>16389.495974400001</v>
      </c>
      <c r="F58" s="102">
        <f>F55+F56-F57</f>
        <v>43274.937894400005</v>
      </c>
      <c r="G58" s="102">
        <f t="shared" si="38"/>
        <v>48364.941558999999</v>
      </c>
      <c r="H58" s="102">
        <f t="shared" si="38"/>
        <v>41150.745036619999</v>
      </c>
      <c r="I58" s="102">
        <f t="shared" si="38"/>
        <v>73274.889154199991</v>
      </c>
      <c r="J58" s="103">
        <f>V36+V35</f>
        <v>471.7</v>
      </c>
      <c r="K58" s="7"/>
      <c r="L58" s="7"/>
      <c r="M58" s="42"/>
      <c r="N58" s="139"/>
      <c r="O58" s="139"/>
      <c r="P58" s="139"/>
      <c r="Q58" s="139"/>
      <c r="R58" s="26">
        <v>0</v>
      </c>
      <c r="S58" s="26">
        <v>0</v>
      </c>
      <c r="T58" s="26">
        <v>0</v>
      </c>
      <c r="U58" s="26">
        <v>0</v>
      </c>
      <c r="V58" s="150">
        <v>0</v>
      </c>
    </row>
    <row r="59" spans="1:22" ht="12" customHeight="1">
      <c r="A59" s="7"/>
      <c r="B59" s="7"/>
      <c r="C59" s="7"/>
      <c r="D59" s="7"/>
      <c r="E59" s="7"/>
      <c r="F59" s="7"/>
      <c r="G59" s="67"/>
      <c r="H59" s="72"/>
      <c r="I59" s="72"/>
      <c r="J59" s="72"/>
      <c r="K59" s="58"/>
      <c r="L59" s="7"/>
      <c r="M59" s="13" t="s">
        <v>91</v>
      </c>
      <c r="N59" s="26"/>
      <c r="O59" s="26"/>
      <c r="P59" s="26"/>
      <c r="Q59" s="39"/>
      <c r="R59" s="26">
        <v>0</v>
      </c>
      <c r="S59" s="26">
        <v>0</v>
      </c>
      <c r="T59" s="26">
        <v>0</v>
      </c>
      <c r="U59" s="26">
        <v>0</v>
      </c>
      <c r="V59" s="150">
        <v>0</v>
      </c>
    </row>
    <row r="60" spans="1:22" ht="12" customHeight="1">
      <c r="A60" s="7"/>
      <c r="B60" s="7"/>
      <c r="C60" s="7"/>
      <c r="D60" s="7"/>
      <c r="E60" s="7"/>
      <c r="F60" s="7"/>
      <c r="G60" s="67"/>
      <c r="H60" s="72"/>
      <c r="I60" s="72"/>
      <c r="J60" s="72"/>
      <c r="K60" s="64"/>
      <c r="L60" s="7"/>
      <c r="M60" s="42"/>
      <c r="N60" s="139"/>
      <c r="O60" s="139"/>
      <c r="P60" s="139"/>
      <c r="Q60" s="139"/>
      <c r="R60" s="26"/>
      <c r="S60" s="91"/>
      <c r="T60" s="91"/>
      <c r="U60" s="82"/>
      <c r="V60" s="147"/>
    </row>
    <row r="61" spans="1:22" ht="12" customHeight="1">
      <c r="A61" s="7"/>
      <c r="B61" s="7"/>
      <c r="C61" s="7"/>
      <c r="D61" s="7"/>
      <c r="E61" s="7"/>
      <c r="F61" s="7"/>
      <c r="G61" s="72"/>
      <c r="H61" s="64"/>
      <c r="I61" s="64"/>
      <c r="J61" s="64"/>
      <c r="K61" s="7"/>
      <c r="L61" s="7"/>
      <c r="M61" s="15" t="s">
        <v>93</v>
      </c>
      <c r="N61" s="16">
        <f>SUM(N15:N24)+N30</f>
        <v>0</v>
      </c>
      <c r="O61" s="16">
        <f>SUM(O15:O24)+O30</f>
        <v>0</v>
      </c>
      <c r="P61" s="16">
        <f>SUM(P15:P29)+P30</f>
        <v>10193.02</v>
      </c>
      <c r="Q61" s="17">
        <f>SUM(Q15:Q29)+Q30</f>
        <v>10336.32</v>
      </c>
      <c r="R61" s="16">
        <f>R14+R30+R41</f>
        <v>84286.000000000015</v>
      </c>
      <c r="S61" s="90">
        <f t="shared" ref="S61:V61" si="39">S14+S30+S41</f>
        <v>86234.900000000009</v>
      </c>
      <c r="T61" s="90">
        <f>T14+T30+T41</f>
        <v>100552.6</v>
      </c>
      <c r="U61" s="16">
        <f t="shared" si="39"/>
        <v>117267.1</v>
      </c>
      <c r="V61" s="146">
        <f t="shared" si="39"/>
        <v>129161</v>
      </c>
    </row>
    <row r="62" spans="1:22" ht="12" customHeight="1" thickBot="1">
      <c r="A62" s="7"/>
      <c r="B62" s="7"/>
      <c r="C62" s="7"/>
      <c r="D62" s="7"/>
      <c r="E62" s="7"/>
      <c r="F62" s="7"/>
      <c r="G62" s="72"/>
      <c r="H62" s="64"/>
      <c r="I62" s="64"/>
      <c r="J62" s="64"/>
      <c r="K62" s="67"/>
      <c r="L62" s="7"/>
      <c r="M62" s="83" t="s">
        <v>95</v>
      </c>
      <c r="N62" s="56">
        <f>N56+N43+N10+N6+N53+N57+N54</f>
        <v>0</v>
      </c>
      <c r="O62" s="56">
        <f>O56+O43+O10+O6+O53+O57+O54</f>
        <v>0</v>
      </c>
      <c r="P62" s="56">
        <f>P56+P43+P10+P6+P53+P57+P54+P55</f>
        <v>10193.02</v>
      </c>
      <c r="Q62" s="56">
        <f>Q56+Q43+Q10+Q6+Q53+Q57+Q54+Q55</f>
        <v>10336.32</v>
      </c>
      <c r="R62" s="56">
        <f>R56+R43+R10+R6+R53+R57+R54+R55+R7+R59</f>
        <v>84285.900000000009</v>
      </c>
      <c r="S62" s="88">
        <f>S56+S43+S10+S6+S53+S57+S54+S55+S7+S59</f>
        <v>86234.89999999998</v>
      </c>
      <c r="T62" s="93">
        <f t="shared" ref="T62:V62" si="40">T56+T43+T10+T6+T53+T57+T54+T55+T7+T59</f>
        <v>100552.59999999999</v>
      </c>
      <c r="U62" s="95">
        <f t="shared" si="40"/>
        <v>117267.1</v>
      </c>
      <c r="V62" s="151">
        <f t="shared" si="40"/>
        <v>129160.99999999997</v>
      </c>
    </row>
    <row r="63" spans="1:22" ht="12" customHeight="1">
      <c r="A63" s="7"/>
      <c r="B63" s="7"/>
      <c r="C63" s="7"/>
      <c r="D63" s="7"/>
      <c r="E63" s="7"/>
      <c r="F63" s="7"/>
      <c r="G63" s="67"/>
      <c r="H63" s="12"/>
      <c r="I63" s="12"/>
      <c r="J63" s="12"/>
      <c r="K63" s="7"/>
      <c r="L63" s="7"/>
      <c r="M63" s="139"/>
      <c r="N63" s="139"/>
      <c r="O63" s="139"/>
      <c r="P63" s="139"/>
      <c r="Q63" s="139"/>
      <c r="R63" s="139"/>
      <c r="S63" s="139"/>
      <c r="T63" s="139"/>
      <c r="U63" s="139"/>
      <c r="V63" s="145"/>
    </row>
    <row r="64" spans="1:22" ht="12" customHeight="1" thickBot="1">
      <c r="A64" s="7"/>
      <c r="B64" s="7"/>
      <c r="C64" s="7"/>
      <c r="D64" s="7"/>
      <c r="E64" s="7"/>
      <c r="F64" s="7"/>
      <c r="G64" s="67"/>
      <c r="H64" s="78"/>
      <c r="I64" s="78"/>
      <c r="J64" s="78"/>
      <c r="K64" s="7"/>
      <c r="L64" s="2"/>
      <c r="M64" s="152" t="s">
        <v>98</v>
      </c>
      <c r="N64" s="139"/>
      <c r="O64" s="139"/>
      <c r="P64" s="139"/>
      <c r="Q64" s="139"/>
      <c r="R64" s="139"/>
      <c r="S64" s="139"/>
      <c r="T64" s="139"/>
      <c r="U64" s="139"/>
      <c r="V64" s="145"/>
    </row>
    <row r="65" spans="1:22" ht="12" customHeight="1">
      <c r="A65" s="7"/>
      <c r="B65" s="7"/>
      <c r="C65" s="7"/>
      <c r="D65" s="7"/>
      <c r="E65" s="7"/>
      <c r="F65" s="7"/>
      <c r="G65" s="79"/>
      <c r="H65" s="7"/>
      <c r="I65" s="7"/>
      <c r="J65" s="7"/>
      <c r="K65" s="71"/>
      <c r="L65" s="2"/>
      <c r="M65" s="104" t="s">
        <v>100</v>
      </c>
      <c r="N65" s="105" t="s">
        <v>3</v>
      </c>
      <c r="O65" s="105" t="s">
        <v>4</v>
      </c>
      <c r="P65" s="106" t="s">
        <v>5</v>
      </c>
      <c r="Q65" s="106" t="s">
        <v>6</v>
      </c>
      <c r="R65" s="106" t="s">
        <v>7</v>
      </c>
      <c r="S65" s="107" t="s">
        <v>8</v>
      </c>
      <c r="T65" s="107" t="s">
        <v>9</v>
      </c>
      <c r="U65" s="108" t="s">
        <v>12</v>
      </c>
      <c r="V65" s="153" t="s">
        <v>11</v>
      </c>
    </row>
    <row r="66" spans="1:22" ht="12" customHeight="1">
      <c r="A66" s="7"/>
      <c r="B66" s="7"/>
      <c r="C66" s="7"/>
      <c r="D66" s="7"/>
      <c r="E66" s="7"/>
      <c r="F66" s="7"/>
      <c r="G66" s="58"/>
      <c r="H66" s="7"/>
      <c r="I66" s="7"/>
      <c r="J66" s="7"/>
      <c r="K66" s="72"/>
      <c r="L66" s="2"/>
      <c r="M66" s="96" t="s">
        <v>101</v>
      </c>
      <c r="N66" s="97"/>
      <c r="O66" s="97"/>
      <c r="P66" s="97">
        <v>528.70000000000005</v>
      </c>
      <c r="Q66" s="97">
        <v>1053.3</v>
      </c>
      <c r="R66" s="26">
        <v>70.400000000000006</v>
      </c>
      <c r="S66" s="26">
        <v>106.5</v>
      </c>
      <c r="T66" s="26">
        <v>65.17</v>
      </c>
      <c r="U66" s="26">
        <v>209.7</v>
      </c>
      <c r="V66" s="150">
        <v>397.95</v>
      </c>
    </row>
    <row r="67" spans="1:22" ht="12" customHeight="1">
      <c r="A67" s="7"/>
      <c r="B67" s="7"/>
      <c r="C67" s="7"/>
      <c r="D67" s="7"/>
      <c r="E67" s="7"/>
      <c r="F67" s="7"/>
      <c r="G67" s="72"/>
      <c r="H67" s="7"/>
      <c r="I67" s="7"/>
      <c r="J67" s="7"/>
      <c r="K67" s="72"/>
      <c r="L67" s="2"/>
      <c r="M67" s="174" t="s">
        <v>103</v>
      </c>
      <c r="N67" s="98" t="e">
        <f t="shared" ref="N67:O67" si="41">#REF!</f>
        <v>#REF!</v>
      </c>
      <c r="O67" s="98" t="e">
        <f t="shared" si="41"/>
        <v>#REF!</v>
      </c>
      <c r="P67" s="98" t="e">
        <f>#REF!</f>
        <v>#REF!</v>
      </c>
      <c r="Q67" s="98" t="e">
        <f>#REF!</f>
        <v>#REF!</v>
      </c>
      <c r="R67" s="98">
        <f>F37</f>
        <v>-1.7000000000000002</v>
      </c>
      <c r="S67" s="98">
        <f t="shared" ref="S67:T67" si="42">G37</f>
        <v>62.199999999999996</v>
      </c>
      <c r="T67" s="98">
        <f t="shared" si="42"/>
        <v>28</v>
      </c>
      <c r="U67" s="98">
        <f>I37</f>
        <v>17.7</v>
      </c>
      <c r="V67" s="154">
        <f>J37+(-0.28)+3.29</f>
        <v>2.31</v>
      </c>
    </row>
    <row r="68" spans="1:22" ht="12" customHeight="1">
      <c r="A68" s="7"/>
      <c r="B68" s="7"/>
      <c r="C68" s="7"/>
      <c r="D68" s="7"/>
      <c r="E68" s="7"/>
      <c r="F68" s="7"/>
      <c r="G68" s="72"/>
      <c r="H68" s="58"/>
      <c r="I68" s="58"/>
      <c r="J68" s="58"/>
      <c r="K68" s="72"/>
      <c r="L68" s="2"/>
      <c r="M68" s="175" t="s">
        <v>105</v>
      </c>
      <c r="N68" s="99">
        <v>0</v>
      </c>
      <c r="O68" s="99">
        <v>0</v>
      </c>
      <c r="P68" s="99">
        <f t="shared" ref="P68:Q68" si="43">P6/(D54/10000000)</f>
        <v>211.62412010921102</v>
      </c>
      <c r="Q68" s="99">
        <f t="shared" si="43"/>
        <v>222.1983876189303</v>
      </c>
      <c r="R68" s="99">
        <f>R6/(F54/1000000)</f>
        <v>79.948239948333736</v>
      </c>
      <c r="S68" s="99">
        <f t="shared" ref="S68:V68" si="44">S6/(G54/1000000)</f>
        <v>86.108484242310993</v>
      </c>
      <c r="T68" s="99">
        <f t="shared" si="44"/>
        <v>83.777045355227671</v>
      </c>
      <c r="U68" s="99">
        <f t="shared" si="44"/>
        <v>79.407231431038028</v>
      </c>
      <c r="V68" s="155">
        <f t="shared" si="44"/>
        <v>79.427050137439352</v>
      </c>
    </row>
    <row r="69" spans="1:22" ht="12" customHeight="1">
      <c r="A69" s="7"/>
      <c r="B69" s="7"/>
      <c r="C69" s="7"/>
      <c r="D69" s="7"/>
      <c r="E69" s="7"/>
      <c r="F69" s="7"/>
      <c r="G69" s="72"/>
      <c r="H69" s="67"/>
      <c r="I69" s="67"/>
      <c r="J69" s="67"/>
      <c r="K69" s="67"/>
      <c r="L69" s="2"/>
      <c r="M69" s="109" t="s">
        <v>107</v>
      </c>
      <c r="N69" s="84"/>
      <c r="O69" s="84"/>
      <c r="P69" s="84">
        <v>0</v>
      </c>
      <c r="Q69" s="84">
        <v>0</v>
      </c>
      <c r="R69" s="176">
        <v>0</v>
      </c>
      <c r="S69" s="176">
        <v>0</v>
      </c>
      <c r="T69" s="130">
        <v>5</v>
      </c>
      <c r="U69" s="130">
        <v>6.3</v>
      </c>
      <c r="V69" s="156">
        <v>0</v>
      </c>
    </row>
    <row r="70" spans="1:22" ht="12" customHeight="1">
      <c r="A70" s="7"/>
      <c r="B70" s="7"/>
      <c r="C70" s="7"/>
      <c r="D70" s="7"/>
      <c r="E70" s="7"/>
      <c r="F70" s="7"/>
      <c r="G70" s="72"/>
      <c r="H70" s="67"/>
      <c r="I70" s="67"/>
      <c r="J70" s="67"/>
      <c r="K70" s="72"/>
      <c r="L70" s="2"/>
      <c r="M70" s="109" t="s">
        <v>109</v>
      </c>
      <c r="N70" s="99" t="e">
        <f t="shared" ref="N70:U70" si="45">(N66/N67)</f>
        <v>#REF!</v>
      </c>
      <c r="O70" s="99" t="e">
        <f t="shared" si="45"/>
        <v>#REF!</v>
      </c>
      <c r="P70" s="99" t="e">
        <f t="shared" si="45"/>
        <v>#REF!</v>
      </c>
      <c r="Q70" s="99" t="e">
        <f t="shared" si="45"/>
        <v>#REF!</v>
      </c>
      <c r="R70" s="99">
        <f>(R66/R67)</f>
        <v>-41.411764705882355</v>
      </c>
      <c r="S70" s="99">
        <f t="shared" si="45"/>
        <v>1.712218649517685</v>
      </c>
      <c r="T70" s="99">
        <f t="shared" si="45"/>
        <v>2.3275000000000001</v>
      </c>
      <c r="U70" s="110">
        <f t="shared" si="45"/>
        <v>11.847457627118644</v>
      </c>
      <c r="V70" s="157">
        <f>(V66/V67)</f>
        <v>172.27272727272725</v>
      </c>
    </row>
    <row r="71" spans="1:22" ht="12" customHeight="1">
      <c r="A71" s="7"/>
      <c r="B71" s="7"/>
      <c r="C71" s="7"/>
      <c r="D71" s="7"/>
      <c r="E71" s="7"/>
      <c r="F71" s="7"/>
      <c r="G71" s="72"/>
      <c r="H71" s="67"/>
      <c r="I71" s="67"/>
      <c r="J71" s="67"/>
      <c r="K71" s="72"/>
      <c r="L71" s="2"/>
      <c r="M71" s="109" t="s">
        <v>111</v>
      </c>
      <c r="N71" s="99">
        <v>0</v>
      </c>
      <c r="O71" s="99">
        <v>0</v>
      </c>
      <c r="P71" s="99">
        <f t="shared" ref="P71:T71" si="46">(P66/P68)</f>
        <v>2.4982974517609735</v>
      </c>
      <c r="Q71" s="99">
        <f t="shared" si="46"/>
        <v>4.7403584305319395</v>
      </c>
      <c r="R71" s="99">
        <f>(R66/R68)</f>
        <v>0.88056972918347864</v>
      </c>
      <c r="S71" s="99">
        <f t="shared" si="46"/>
        <v>1.2368119232049988</v>
      </c>
      <c r="T71" s="99">
        <f t="shared" si="46"/>
        <v>0.77789804741464785</v>
      </c>
      <c r="U71" s="110">
        <f t="shared" ref="U71:V71" si="47">U66/U68</f>
        <v>2.6408174195333327</v>
      </c>
      <c r="V71" s="157">
        <f t="shared" si="47"/>
        <v>5.0102578317008302</v>
      </c>
    </row>
    <row r="72" spans="1:22" ht="12" customHeight="1">
      <c r="A72" s="7"/>
      <c r="B72" s="7"/>
      <c r="C72" s="7"/>
      <c r="D72" s="7"/>
      <c r="E72" s="7"/>
      <c r="F72" s="7"/>
      <c r="G72" s="67"/>
      <c r="H72" s="67"/>
      <c r="I72" s="67"/>
      <c r="J72" s="67"/>
      <c r="K72" s="64"/>
      <c r="L72" s="2"/>
      <c r="M72" s="109" t="s">
        <v>112</v>
      </c>
      <c r="N72" s="99" t="e">
        <f t="shared" ref="N72:U72" si="48">B58/B16</f>
        <v>#DIV/0!</v>
      </c>
      <c r="O72" s="99" t="e">
        <f t="shared" si="48"/>
        <v>#DIV/0!</v>
      </c>
      <c r="P72" s="99">
        <f t="shared" si="48"/>
        <v>6.9739256801465679</v>
      </c>
      <c r="Q72" s="99">
        <f t="shared" si="48"/>
        <v>9.318567190357065</v>
      </c>
      <c r="R72" s="99">
        <f>F58/F16</f>
        <v>11.470548385612423</v>
      </c>
      <c r="S72" s="99">
        <f t="shared" si="48"/>
        <v>7.5515944101114849</v>
      </c>
      <c r="T72" s="99">
        <f t="shared" si="48"/>
        <v>10.263310895777524</v>
      </c>
      <c r="U72" s="99">
        <f t="shared" si="48"/>
        <v>13.628734149390857</v>
      </c>
      <c r="V72" s="157" t="s">
        <v>20</v>
      </c>
    </row>
    <row r="73" spans="1:22" ht="14.25" customHeight="1">
      <c r="A73" s="7"/>
      <c r="B73" s="7"/>
      <c r="C73" s="7"/>
      <c r="D73" s="7"/>
      <c r="E73" s="7"/>
      <c r="F73" s="7"/>
      <c r="G73" s="72"/>
      <c r="H73" s="67"/>
      <c r="I73" s="67"/>
      <c r="J73" s="67"/>
      <c r="K73" s="7"/>
      <c r="L73" s="2"/>
      <c r="M73" s="111" t="s">
        <v>113</v>
      </c>
      <c r="N73" s="112" t="e">
        <f>(#REF!/N6)</f>
        <v>#REF!</v>
      </c>
      <c r="O73" s="112" t="e">
        <f>(#REF!/O6)</f>
        <v>#REF!</v>
      </c>
      <c r="P73" s="112">
        <f t="shared" ref="P73:U73" si="49">(D30/P6)</f>
        <v>0.28904494976203093</v>
      </c>
      <c r="Q73" s="112">
        <f t="shared" si="49"/>
        <v>0.35376693286486721</v>
      </c>
      <c r="R73" s="112">
        <f>(F30/R6)</f>
        <v>-2.0728176078734606E-3</v>
      </c>
      <c r="S73" s="112">
        <f t="shared" si="49"/>
        <v>7.2260364533852969E-2</v>
      </c>
      <c r="T73" s="112">
        <f t="shared" si="49"/>
        <v>3.3481479990134816E-2</v>
      </c>
      <c r="U73" s="112">
        <f t="shared" si="49"/>
        <v>2.2303174485168616E-2</v>
      </c>
      <c r="V73" s="158" t="s">
        <v>20</v>
      </c>
    </row>
    <row r="74" spans="1:22" ht="14.25" customHeight="1">
      <c r="A74" s="7"/>
      <c r="B74" s="7"/>
      <c r="C74" s="7"/>
      <c r="D74" s="7"/>
      <c r="E74" s="7"/>
      <c r="F74" s="7"/>
      <c r="G74" s="67"/>
      <c r="H74" s="72"/>
      <c r="I74" s="72"/>
      <c r="J74" s="72"/>
      <c r="K74" s="12"/>
      <c r="L74" s="2"/>
      <c r="M74" s="111" t="s">
        <v>114</v>
      </c>
      <c r="N74" s="85" t="e">
        <f t="shared" ref="N74:U74" si="50">(B16-B20)/N11</f>
        <v>#DIV/0!</v>
      </c>
      <c r="O74" s="85" t="e">
        <f t="shared" si="50"/>
        <v>#DIV/0!</v>
      </c>
      <c r="P74" s="85">
        <f t="shared" si="50"/>
        <v>0.17313214425720963</v>
      </c>
      <c r="Q74" s="85">
        <f t="shared" si="50"/>
        <v>0.20087941898310918</v>
      </c>
      <c r="R74" s="112">
        <f>(F16-F20)/R11</f>
        <v>0.1431706221216644</v>
      </c>
      <c r="S74" s="112">
        <f t="shared" si="50"/>
        <v>0.23324669877388371</v>
      </c>
      <c r="T74" s="112">
        <f t="shared" si="50"/>
        <v>0.15445037765535785</v>
      </c>
      <c r="U74" s="112">
        <f t="shared" si="50"/>
        <v>0.20300362506473343</v>
      </c>
      <c r="V74" s="158" t="s">
        <v>20</v>
      </c>
    </row>
    <row r="75" spans="1:22" ht="14.25" customHeight="1">
      <c r="A75" s="7"/>
      <c r="B75" s="7"/>
      <c r="C75" s="7"/>
      <c r="D75" s="7"/>
      <c r="E75" s="7"/>
      <c r="F75" s="7"/>
      <c r="G75" s="19"/>
      <c r="H75" s="72"/>
      <c r="I75" s="72"/>
      <c r="J75" s="72"/>
      <c r="K75" s="78"/>
      <c r="L75" s="2"/>
      <c r="M75" s="109" t="s">
        <v>115</v>
      </c>
      <c r="N75" s="113" t="e">
        <f t="shared" ref="N75:Q75" si="51">(N10/N6)</f>
        <v>#DIV/0!</v>
      </c>
      <c r="O75" s="113" t="e">
        <f t="shared" si="51"/>
        <v>#DIV/0!</v>
      </c>
      <c r="P75" s="113">
        <f t="shared" si="51"/>
        <v>1.989313590692755</v>
      </c>
      <c r="Q75" s="113">
        <f t="shared" si="51"/>
        <v>1.8993013304537723</v>
      </c>
      <c r="R75" s="113">
        <f>(R10/R6)</f>
        <v>1.4884940162555316</v>
      </c>
      <c r="S75" s="113">
        <f t="shared" ref="S75:V75" si="52">(S10/S6)</f>
        <v>1.2786255056168772</v>
      </c>
      <c r="T75" s="113">
        <f t="shared" si="52"/>
        <v>1.4732052527469208</v>
      </c>
      <c r="U75" s="113">
        <f t="shared" si="52"/>
        <v>1.7447401680172481</v>
      </c>
      <c r="V75" s="159">
        <f t="shared" si="52"/>
        <v>2.1129480094074675</v>
      </c>
    </row>
    <row r="76" spans="1:22" ht="14.25" customHeight="1">
      <c r="A76" s="7"/>
      <c r="B76" s="7"/>
      <c r="C76" s="7"/>
      <c r="D76" s="7"/>
      <c r="E76" s="7"/>
      <c r="F76" s="7"/>
      <c r="G76" s="7"/>
      <c r="H76" s="67"/>
      <c r="I76" s="67"/>
      <c r="J76" s="67"/>
      <c r="K76" s="7"/>
      <c r="L76" s="2"/>
      <c r="M76" s="109" t="s">
        <v>116</v>
      </c>
      <c r="N76" s="113" t="e">
        <f t="shared" ref="N76:Q76" si="53">(N10-N35-N34)/N6</f>
        <v>#DIV/0!</v>
      </c>
      <c r="O76" s="113" t="e">
        <f t="shared" si="53"/>
        <v>#DIV/0!</v>
      </c>
      <c r="P76" s="113">
        <f t="shared" si="53"/>
        <v>1.946250661025912</v>
      </c>
      <c r="Q76" s="113">
        <f t="shared" si="53"/>
        <v>1.8633565148719102</v>
      </c>
      <c r="R76" s="113">
        <f>(R10-R35-R34)/R6</f>
        <v>1.4018998190899645</v>
      </c>
      <c r="S76" s="113">
        <f t="shared" ref="S76:V76" si="54">(S10-S35-S34)/S6</f>
        <v>1.1316268865753212</v>
      </c>
      <c r="T76" s="113">
        <f t="shared" si="54"/>
        <v>1.293340447057284</v>
      </c>
      <c r="U76" s="113">
        <f t="shared" si="54"/>
        <v>1.2502840999607041</v>
      </c>
      <c r="V76" s="159">
        <f t="shared" si="54"/>
        <v>1.6141982682190053</v>
      </c>
    </row>
    <row r="77" spans="1:22" ht="14.25" customHeight="1">
      <c r="A77" s="7"/>
      <c r="B77" s="7"/>
      <c r="C77" s="7"/>
      <c r="D77" s="7"/>
      <c r="E77" s="7"/>
      <c r="F77" s="7"/>
      <c r="G77" s="81"/>
      <c r="H77" s="67"/>
      <c r="I77" s="67"/>
      <c r="J77" s="67"/>
      <c r="K77" s="7"/>
      <c r="L77" s="2"/>
      <c r="M77" s="109" t="s">
        <v>117</v>
      </c>
      <c r="N77" s="85" t="e">
        <f t="shared" ref="N77:V77" si="55">(N69/N66)</f>
        <v>#DIV/0!</v>
      </c>
      <c r="O77" s="85" t="e">
        <f t="shared" si="55"/>
        <v>#DIV/0!</v>
      </c>
      <c r="P77" s="85">
        <f t="shared" si="55"/>
        <v>0</v>
      </c>
      <c r="Q77" s="85">
        <f t="shared" si="55"/>
        <v>0</v>
      </c>
      <c r="R77" s="112">
        <f t="shared" si="55"/>
        <v>0</v>
      </c>
      <c r="S77" s="112">
        <f t="shared" si="55"/>
        <v>0</v>
      </c>
      <c r="T77" s="112">
        <f t="shared" si="55"/>
        <v>7.6722418290624525E-2</v>
      </c>
      <c r="U77" s="112">
        <f t="shared" si="55"/>
        <v>3.0042918454935622E-2</v>
      </c>
      <c r="V77" s="160"/>
    </row>
    <row r="78" spans="1:22" ht="14.25" customHeight="1">
      <c r="A78" s="7"/>
      <c r="B78" s="7"/>
      <c r="C78" s="7"/>
      <c r="D78" s="7"/>
      <c r="E78" s="7"/>
      <c r="F78" s="7"/>
      <c r="G78" s="72"/>
      <c r="H78" s="79"/>
      <c r="I78" s="79"/>
      <c r="J78" s="79"/>
      <c r="K78" s="7"/>
      <c r="L78" s="2"/>
      <c r="M78" s="109" t="s">
        <v>118</v>
      </c>
      <c r="N78" s="114" t="e">
        <f>(AVERAGE(N33)/B6*365)</f>
        <v>#DIV/0!</v>
      </c>
      <c r="O78" s="114" t="e">
        <f>(AVERAGE(N33:O33)/C6*365)</f>
        <v>#DIV/0!</v>
      </c>
      <c r="P78" s="114">
        <f>(AVERAGE(O33:P33)/D6*365)</f>
        <v>21.747564651915383</v>
      </c>
      <c r="Q78" s="114">
        <f>(AVERAGE(P33:Q33)/E6*365)</f>
        <v>22.126825157790879</v>
      </c>
      <c r="R78" s="114">
        <f>(AVERAGE(R33:R33)/F6*365)</f>
        <v>106.02435238554948</v>
      </c>
      <c r="S78" s="114">
        <f>(AVERAGE(R33:S33)/G6*365)</f>
        <v>72.511272753591726</v>
      </c>
      <c r="T78" s="99">
        <f>(AVERAGE(S33:T33)/H6*365)</f>
        <v>100.4120320684582</v>
      </c>
      <c r="U78" s="99">
        <f>(AVERAGE(T33:U33)/I6*365)</f>
        <v>82.881211008362456</v>
      </c>
      <c r="V78" s="157" t="s">
        <v>20</v>
      </c>
    </row>
    <row r="79" spans="1:22" ht="14.25" customHeight="1">
      <c r="A79" s="7"/>
      <c r="B79" s="7"/>
      <c r="C79" s="7"/>
      <c r="D79" s="7"/>
      <c r="E79" s="7"/>
      <c r="F79" s="7"/>
      <c r="G79" s="72"/>
      <c r="H79" s="58"/>
      <c r="I79" s="58"/>
      <c r="J79" s="58"/>
      <c r="K79" s="58"/>
      <c r="L79" s="2"/>
      <c r="M79" s="109" t="s">
        <v>119</v>
      </c>
      <c r="N79" s="114" t="e">
        <f>AVERAGE(N44)/(B10+B11+B12)*365</f>
        <v>#DIV/0!</v>
      </c>
      <c r="O79" s="114" t="e">
        <f>AVERAGE(N44:O44)/(C10+C11+C12)*365</f>
        <v>#DIV/0!</v>
      </c>
      <c r="P79" s="115">
        <f>AVERAGE(O46:P46)/(D9)*365</f>
        <v>30.519957774380838</v>
      </c>
      <c r="Q79" s="115">
        <f>AVERAGE(P46:Q46)/(E9)*365</f>
        <v>35.761839408796561</v>
      </c>
      <c r="R79" s="115">
        <f>AVERAGE(R46:R46)/(F9)*365</f>
        <v>299.19468570587372</v>
      </c>
      <c r="S79" s="115">
        <f>AVERAGE(R46:S46)/(G9)*365</f>
        <v>244.10566116650247</v>
      </c>
      <c r="T79" s="99">
        <f>AVERAGE(S46:T46)/(H9)*365</f>
        <v>167.92416305514695</v>
      </c>
      <c r="U79" s="99">
        <f>AVERAGE(T46:U46)/(I9)*365</f>
        <v>111.7684693314755</v>
      </c>
      <c r="V79" s="157" t="s">
        <v>20</v>
      </c>
    </row>
    <row r="80" spans="1:22" ht="14.25" customHeight="1">
      <c r="A80" s="7"/>
      <c r="B80" s="7"/>
      <c r="C80" s="7"/>
      <c r="D80" s="7"/>
      <c r="E80" s="7"/>
      <c r="F80" s="7"/>
      <c r="G80" s="72"/>
      <c r="H80" s="72"/>
      <c r="I80" s="72"/>
      <c r="J80" s="72"/>
      <c r="K80" s="67"/>
      <c r="L80" s="2"/>
      <c r="M80" s="109" t="s">
        <v>120</v>
      </c>
      <c r="N80" s="86" t="e">
        <f>(AVERAGE(N31)/(B10+B11+B12)*365)</f>
        <v>#DIV/0!</v>
      </c>
      <c r="O80" s="86" t="e">
        <f>(AVERAGE(N31:O31)/(C10+C11+C12)*365)</f>
        <v>#DIV/0!</v>
      </c>
      <c r="P80" s="86">
        <f>(AVERAGE(O31:P31)/(D9)*365)</f>
        <v>63.708053714277895</v>
      </c>
      <c r="Q80" s="86">
        <f>(AVERAGE(P31:Q31)/(E9)*365)</f>
        <v>68.973629967651817</v>
      </c>
      <c r="R80" s="114">
        <f>(AVERAGE(R31:R31)/(F9)*365)</f>
        <v>3445.0293684675412</v>
      </c>
      <c r="S80" s="114">
        <f>(AVERAGE(R31:S31)/(G9)*365)</f>
        <v>3257.8413092459414</v>
      </c>
      <c r="T80" s="99">
        <f>(AVERAGE(S31:T31)/(H9)*365)</f>
        <v>2619.9463739016342</v>
      </c>
      <c r="U80" s="99">
        <f>(AVERAGE(T31:U31)/(I9)*365)</f>
        <v>1704.582527794711</v>
      </c>
      <c r="V80" s="157" t="s">
        <v>20</v>
      </c>
    </row>
    <row r="81" spans="1:22" ht="14.25" customHeight="1">
      <c r="A81" s="7"/>
      <c r="B81" s="7"/>
      <c r="C81" s="7"/>
      <c r="D81" s="7"/>
      <c r="E81" s="7"/>
      <c r="F81" s="7"/>
      <c r="G81" s="67"/>
      <c r="H81" s="72"/>
      <c r="I81" s="72"/>
      <c r="J81" s="72"/>
      <c r="K81" s="67"/>
      <c r="L81" s="2"/>
      <c r="M81" s="109" t="s">
        <v>121</v>
      </c>
      <c r="N81" s="114" t="e">
        <f t="shared" ref="N81:V81" si="56">(N80+N78-N79)</f>
        <v>#DIV/0!</v>
      </c>
      <c r="O81" s="114" t="e">
        <f t="shared" si="56"/>
        <v>#DIV/0!</v>
      </c>
      <c r="P81" s="114">
        <f t="shared" si="56"/>
        <v>54.935660591812436</v>
      </c>
      <c r="Q81" s="114">
        <f t="shared" si="56"/>
        <v>55.338615716646132</v>
      </c>
      <c r="R81" s="114">
        <f t="shared" si="56"/>
        <v>3251.8590351472167</v>
      </c>
      <c r="S81" s="114">
        <f t="shared" si="56"/>
        <v>3086.2469208330303</v>
      </c>
      <c r="T81" s="99">
        <f t="shared" si="56"/>
        <v>2552.4342429149456</v>
      </c>
      <c r="U81" s="99">
        <f t="shared" si="56"/>
        <v>1675.6952694715981</v>
      </c>
      <c r="V81" s="157" t="s">
        <v>20</v>
      </c>
    </row>
    <row r="82" spans="1:22" ht="14.25" customHeight="1">
      <c r="A82" s="7"/>
      <c r="B82" s="7"/>
      <c r="C82" s="7"/>
      <c r="D82" s="7"/>
      <c r="E82" s="7"/>
      <c r="F82" s="7"/>
      <c r="G82" s="7"/>
      <c r="H82" s="72"/>
      <c r="I82" s="72"/>
      <c r="J82" s="72"/>
      <c r="K82" s="67"/>
      <c r="L82" s="7"/>
      <c r="M82" s="109" t="s">
        <v>122</v>
      </c>
      <c r="N82" s="114" t="e">
        <f>AVERAGE(N51)/B6*365</f>
        <v>#DIV/0!</v>
      </c>
      <c r="O82" s="114" t="e">
        <f>AVERAGE(N51:O51)/C6*365</f>
        <v>#DIV/0!</v>
      </c>
      <c r="P82" s="114">
        <f>AVERAGE(O51:P51)/D6*365</f>
        <v>-42.96425580557667</v>
      </c>
      <c r="Q82" s="114">
        <f>AVERAGE(P51:Q51)/E6*365</f>
        <v>-91.851352021186713</v>
      </c>
      <c r="R82" s="114">
        <f>AVERAGE(R51:R51)/F6*365</f>
        <v>501.26915396045769</v>
      </c>
      <c r="S82" s="114">
        <f>AVERAGE(R51:S51)/G6*365</f>
        <v>424.19015307784196</v>
      </c>
      <c r="T82" s="99">
        <f>AVERAGE(S51:T51)/H6*365</f>
        <v>416.05885613970253</v>
      </c>
      <c r="U82" s="99">
        <f>AVERAGE(T51:U51)/I6*365</f>
        <v>207.41257024025498</v>
      </c>
      <c r="V82" s="157" t="s">
        <v>20</v>
      </c>
    </row>
    <row r="83" spans="1:22" ht="15" customHeight="1">
      <c r="A83" s="7"/>
      <c r="B83" s="7"/>
      <c r="C83" s="7"/>
      <c r="D83" s="7"/>
      <c r="E83" s="7"/>
      <c r="F83" s="7"/>
      <c r="G83" s="7"/>
      <c r="H83" s="72"/>
      <c r="I83" s="72"/>
      <c r="J83" s="72"/>
      <c r="K83" s="67"/>
      <c r="L83" s="7"/>
      <c r="M83" s="131" t="s">
        <v>123</v>
      </c>
      <c r="N83" s="112" t="e">
        <f t="shared" ref="N83:V83" si="57">B21/N10</f>
        <v>#DIV/0!</v>
      </c>
      <c r="O83" s="112" t="e">
        <f t="shared" si="57"/>
        <v>#DIV/0!</v>
      </c>
      <c r="P83" s="112">
        <f t="shared" si="57"/>
        <v>0.12497235360168771</v>
      </c>
      <c r="Q83" s="112">
        <f t="shared" si="57"/>
        <v>0.116837795409224</v>
      </c>
      <c r="R83" s="112">
        <f t="shared" si="57"/>
        <v>0.12652100887978626</v>
      </c>
      <c r="S83" s="112">
        <f t="shared" si="57"/>
        <v>0.12709543743273727</v>
      </c>
      <c r="T83" s="112">
        <f t="shared" si="57"/>
        <v>0.12289027373484755</v>
      </c>
      <c r="U83" s="112">
        <f t="shared" si="57"/>
        <v>0.13215586850459124</v>
      </c>
      <c r="V83" s="157" t="s">
        <v>20</v>
      </c>
    </row>
    <row r="84" spans="1:22" ht="12" customHeight="1">
      <c r="A84" s="7"/>
      <c r="B84" s="7"/>
      <c r="C84" s="7"/>
      <c r="D84" s="7"/>
      <c r="E84" s="7"/>
      <c r="F84" s="7"/>
      <c r="G84" s="7"/>
      <c r="H84" s="72"/>
      <c r="I84" s="72"/>
      <c r="J84" s="72"/>
      <c r="K84" s="67"/>
      <c r="L84" s="7"/>
      <c r="M84" s="132" t="s">
        <v>124</v>
      </c>
      <c r="N84" s="133"/>
      <c r="O84" s="133"/>
      <c r="P84" s="134">
        <f t="shared" ref="P84:U84" si="58">D4/P15</f>
        <v>1.3811407706424339</v>
      </c>
      <c r="Q84" s="135">
        <f t="shared" si="58"/>
        <v>1.3541808754032862</v>
      </c>
      <c r="R84" s="176">
        <f t="shared" si="58"/>
        <v>14.438183725460812</v>
      </c>
      <c r="S84" s="176">
        <f t="shared" si="58"/>
        <v>15.62009162303665</v>
      </c>
      <c r="T84" s="130">
        <f t="shared" si="58"/>
        <v>14.697549952426263</v>
      </c>
      <c r="U84" s="130">
        <f t="shared" si="58"/>
        <v>15.09157458563536</v>
      </c>
      <c r="V84" s="177" t="s">
        <v>20</v>
      </c>
    </row>
    <row r="85" spans="1:22" ht="12" customHeight="1" thickBot="1">
      <c r="A85" s="7"/>
      <c r="B85" s="7"/>
      <c r="C85" s="7"/>
      <c r="D85" s="7"/>
      <c r="E85" s="7"/>
      <c r="F85" s="7"/>
      <c r="G85" s="7"/>
      <c r="H85" s="67"/>
      <c r="I85" s="67"/>
      <c r="J85" s="67"/>
      <c r="K85" s="72"/>
      <c r="L85" s="7"/>
      <c r="M85" s="136" t="s">
        <v>125</v>
      </c>
      <c r="N85" s="137"/>
      <c r="O85" s="137"/>
      <c r="P85" s="137"/>
      <c r="Q85" s="137"/>
      <c r="R85" s="138">
        <f>(F24+F21)/F21</f>
        <v>0.99397860303590468</v>
      </c>
      <c r="S85" s="138">
        <f t="shared" ref="S85:U85" si="59">(G24+G21)/G21</f>
        <v>1.8611722163628137</v>
      </c>
      <c r="T85" s="138">
        <f t="shared" si="59"/>
        <v>1.1541327254024301</v>
      </c>
      <c r="U85" s="138">
        <f t="shared" si="59"/>
        <v>1.1571589783745202</v>
      </c>
      <c r="V85" s="178" t="s">
        <v>20</v>
      </c>
    </row>
    <row r="86" spans="1:22" ht="12" customHeight="1">
      <c r="A86" s="7"/>
      <c r="B86" s="7"/>
      <c r="C86" s="7"/>
      <c r="D86" s="7"/>
      <c r="E86" s="7"/>
      <c r="F86" s="7"/>
      <c r="G86" s="7"/>
      <c r="H86" s="72"/>
      <c r="I86" s="72"/>
      <c r="J86" s="72"/>
      <c r="K86" s="72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12" customHeight="1">
      <c r="A87" s="7"/>
      <c r="B87" s="7"/>
      <c r="C87" s="7"/>
      <c r="D87" s="7"/>
      <c r="E87" s="7"/>
      <c r="F87" s="7"/>
      <c r="G87" s="7"/>
      <c r="H87" s="67"/>
      <c r="I87" s="67"/>
      <c r="J87" s="67"/>
      <c r="K87" s="67"/>
      <c r="L87" s="7"/>
      <c r="M87" s="80"/>
      <c r="N87" s="7"/>
      <c r="O87" s="7"/>
      <c r="P87" s="7"/>
      <c r="Q87" s="7"/>
      <c r="R87" s="7"/>
      <c r="S87" s="7"/>
      <c r="T87" s="7"/>
      <c r="U87" s="7"/>
      <c r="V87" s="7"/>
    </row>
    <row r="88" spans="1:22" ht="12" customHeight="1">
      <c r="A88" s="7"/>
      <c r="B88" s="7"/>
      <c r="C88" s="7"/>
      <c r="D88" s="7"/>
      <c r="E88" s="7"/>
      <c r="F88" s="7"/>
      <c r="G88" s="7"/>
      <c r="H88" s="19"/>
      <c r="I88" s="19"/>
      <c r="J88" s="19"/>
      <c r="K88" s="6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12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9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12" customHeight="1">
      <c r="A90" s="7"/>
      <c r="B90" s="7"/>
      <c r="C90" s="7"/>
      <c r="D90" s="7"/>
      <c r="E90" s="7"/>
      <c r="F90" s="7"/>
      <c r="G90" s="7"/>
      <c r="H90" s="81"/>
      <c r="I90" s="81"/>
      <c r="J90" s="81"/>
      <c r="K90" s="58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12" customHeight="1">
      <c r="A91" s="7"/>
      <c r="B91" s="7"/>
      <c r="C91" s="7"/>
      <c r="D91" s="7"/>
      <c r="E91" s="7"/>
      <c r="F91" s="7"/>
      <c r="G91" s="7"/>
      <c r="H91" s="72"/>
      <c r="I91" s="72"/>
      <c r="J91" s="72"/>
      <c r="K91" s="72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12" customHeight="1">
      <c r="A92" s="7"/>
      <c r="B92" s="7"/>
      <c r="C92" s="7"/>
      <c r="D92" s="7"/>
      <c r="E92" s="7"/>
      <c r="F92" s="7"/>
      <c r="G92" s="7"/>
      <c r="H92" s="72"/>
      <c r="I92" s="72"/>
      <c r="J92" s="72"/>
      <c r="K92" s="72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12" customHeight="1">
      <c r="A93" s="7"/>
      <c r="B93" s="7"/>
      <c r="C93" s="7"/>
      <c r="D93" s="7"/>
      <c r="E93" s="7"/>
      <c r="F93" s="7"/>
      <c r="G93" s="7"/>
      <c r="H93" s="72"/>
      <c r="I93" s="72"/>
      <c r="J93" s="72"/>
      <c r="K93" s="72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12" customHeight="1">
      <c r="A94" s="7"/>
      <c r="B94" s="7"/>
      <c r="C94" s="7"/>
      <c r="D94" s="7"/>
      <c r="E94" s="7"/>
      <c r="F94" s="7"/>
      <c r="G94" s="7"/>
      <c r="H94" s="67"/>
      <c r="I94" s="67"/>
      <c r="J94" s="67"/>
      <c r="K94" s="72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12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2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12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6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12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2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12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6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12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19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12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12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81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12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2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12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2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12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2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12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6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12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12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12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12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12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12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12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12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12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12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12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12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12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12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12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12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12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12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12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12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12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12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12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12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12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12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12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12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12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12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12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12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12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12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12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12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12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12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12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12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12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12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12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12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12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12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12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12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12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12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12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12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12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12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12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12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12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12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12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12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12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12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12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12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12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12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12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12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12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12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12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12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12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12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12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12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12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12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12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12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12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12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12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12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12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12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12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12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12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12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12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12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12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12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12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12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12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12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12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12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12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12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12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12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12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12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12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12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12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12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12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12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12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12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12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12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12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12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12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12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12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12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12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12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12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12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12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12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12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12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12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12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12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12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12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12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12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12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12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12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12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12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12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12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12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12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12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12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12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12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12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12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12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12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12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12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12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12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12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12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12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12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12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12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12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12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12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12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12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12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12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12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12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12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12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12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12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12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12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12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12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12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12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12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12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12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12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12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12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12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12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12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12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12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12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12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12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12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12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12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12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12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12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12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12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12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12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12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12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12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12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12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12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12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12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12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12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12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12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12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12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12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12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12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12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12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12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12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12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12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12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12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12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12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12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12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12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12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12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12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12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12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12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12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12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12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12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12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12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12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12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12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12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12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12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12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12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12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12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12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12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12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12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12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12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12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12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12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12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12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12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12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12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12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12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12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12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12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12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12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12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12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12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12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12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12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12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12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12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12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12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12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12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12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12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12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12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12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12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12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12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12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12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12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12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12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12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12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12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12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12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12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12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12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12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12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12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12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12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12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12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12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12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12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12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12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12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12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12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12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12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12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12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12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12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12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12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12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12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12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12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12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12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12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12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12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12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12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12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12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12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12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12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12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12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12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12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12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12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12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12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12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12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12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12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12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12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12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12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12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12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12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12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12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12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12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12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12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12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12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12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12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12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12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12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12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12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12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12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12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12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12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12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12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12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12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12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12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12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12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12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12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12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12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12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12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12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12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12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12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12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12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12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12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12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12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12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12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12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12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12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12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12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12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12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12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12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12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12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12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12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12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12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12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12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12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12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12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12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12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12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12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12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12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12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12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12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12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12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12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12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12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12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12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12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12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12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12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12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12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12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12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12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12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12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12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12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12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12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12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12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12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12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12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12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12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12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12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12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12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12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12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12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12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12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12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12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12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12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12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12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12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12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12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12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12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12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12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12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12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12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12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12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12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12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12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12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12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12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12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12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12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12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12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12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12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12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12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12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12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12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12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12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12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12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12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12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12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12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12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12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12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12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12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12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12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12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12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12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12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12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12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12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12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12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12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12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12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12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12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12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12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12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12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12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12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12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12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12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12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12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12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12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12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12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12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12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12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12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12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12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12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12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12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12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12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12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12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12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12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12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12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12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12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12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12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12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12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12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12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12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12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12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12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12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12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12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12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12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12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12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12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12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12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12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12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12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12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12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12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12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12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12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12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12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12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12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12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12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12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12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12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12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12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12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12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12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12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12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12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12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12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12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12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12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12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12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12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12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12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12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12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12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12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12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12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12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12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12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12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12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12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12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12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12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12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12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12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12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12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12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12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12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12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12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12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12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12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12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12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12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12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12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12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12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12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12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12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12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12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12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12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12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12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12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12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12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12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12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12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12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12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12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12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12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12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12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12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12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12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12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12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12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12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12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12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12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12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12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12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12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12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12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12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12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12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12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12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12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12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12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12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12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12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12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12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12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12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12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12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12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12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12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12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12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12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12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12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12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12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12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12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12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12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12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12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12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12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12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12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12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12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12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12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12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12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12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12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12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12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12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12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12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12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12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12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12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12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12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12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12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12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12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12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12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12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12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12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12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12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12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12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12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12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12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12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12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12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12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12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12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12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12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12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12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12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12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12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12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12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12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12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12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12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12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12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12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12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12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12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12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12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12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12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12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12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12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12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12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12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12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12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12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12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12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12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12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12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12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12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12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12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12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12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12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12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12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12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12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12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12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12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12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12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12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12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12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12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12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12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12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12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12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12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12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12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12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12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12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12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12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12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12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12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12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12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12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12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12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12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12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12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12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12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12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12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12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12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12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12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12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12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12" customHeight="1"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12" customHeight="1"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12" customHeight="1"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12" customHeight="1"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12" customHeight="1"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1:22" ht="12" customHeight="1"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1:22" ht="12" customHeight="1"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1:22" ht="12" customHeight="1"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1:22" ht="12" customHeight="1"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1:22" ht="12" customHeight="1"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1:22" ht="12" customHeight="1"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1:22" ht="12" customHeight="1"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1:22" ht="12" customHeight="1"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</sheetData>
  <mergeCells count="3">
    <mergeCell ref="A1:V1"/>
    <mergeCell ref="A2:J2"/>
    <mergeCell ref="M2:V2"/>
  </mergeCells>
  <pageMargins left="0.7" right="0.7" top="0.75" bottom="0.75" header="0.3" footer="0.3"/>
  <pageSetup orientation="portrait" r:id="rId1"/>
  <ignoredErrors>
    <ignoredError sqref="R11:V11 R30:V30" formulaRange="1"/>
    <ignoredError sqref="R82:V82 R78:R81" formula="1"/>
    <ignoredError sqref="S78:V81" formula="1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F2k</dc:creator>
  <cp:lastModifiedBy>Yuvraj</cp:lastModifiedBy>
  <cp:lastPrinted>2024-11-29T07:23:12Z</cp:lastPrinted>
  <dcterms:created xsi:type="dcterms:W3CDTF">2024-11-17T08:43:36Z</dcterms:created>
  <dcterms:modified xsi:type="dcterms:W3CDTF">2024-12-09T12:25:17Z</dcterms:modified>
</cp:coreProperties>
</file>