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Yuvraj Laptop\summary sheet\1 Q2-FY25\Nirlon\"/>
    </mc:Choice>
  </mc:AlternateContent>
  <bookViews>
    <workbookView xWindow="0" yWindow="0" windowWidth="23040" windowHeight="9072"/>
  </bookViews>
  <sheets>
    <sheet name="Financials" sheetId="1" r:id="rId1"/>
    <sheet name="Sheet1" sheetId="2" r:id="rId2"/>
  </sheets>
  <definedNames>
    <definedName name="_xlnm.Print_Area" localSheetId="0">Financials!$A$1:$T$70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K40" i="1"/>
  <c r="K38" i="1"/>
  <c r="K33" i="1"/>
  <c r="W58" i="1" l="1"/>
  <c r="V56" i="1"/>
  <c r="V58" i="1" s="1"/>
  <c r="W51" i="1"/>
  <c r="W38" i="1"/>
  <c r="W27" i="1"/>
  <c r="W18" i="1"/>
  <c r="W15" i="1" s="1"/>
  <c r="W24" i="1" s="1"/>
  <c r="W25" i="1" s="1"/>
  <c r="W7" i="1"/>
  <c r="W3" i="1"/>
  <c r="W57" i="1" s="1"/>
  <c r="W59" i="1" s="1"/>
  <c r="K49" i="1"/>
  <c r="K48" i="1"/>
  <c r="K47" i="1"/>
  <c r="K46" i="1"/>
  <c r="K9" i="1"/>
  <c r="K6" i="1"/>
  <c r="U56" i="1"/>
  <c r="T66" i="1"/>
  <c r="E41" i="1"/>
  <c r="F41" i="1"/>
  <c r="G41" i="1"/>
  <c r="H41" i="1"/>
  <c r="I41" i="1"/>
  <c r="J41" i="1"/>
  <c r="B40" i="1"/>
  <c r="B42" i="1" s="1"/>
  <c r="C40" i="1"/>
  <c r="D40" i="1"/>
  <c r="E40" i="1"/>
  <c r="F40" i="1"/>
  <c r="G40" i="1"/>
  <c r="H40" i="1"/>
  <c r="I40" i="1"/>
  <c r="J40" i="1"/>
  <c r="V51" i="1"/>
  <c r="V66" i="1"/>
  <c r="V38" i="1"/>
  <c r="V27" i="1"/>
  <c r="V15" i="1"/>
  <c r="V7" i="1"/>
  <c r="I46" i="1"/>
  <c r="J48" i="1"/>
  <c r="J47" i="1"/>
  <c r="J46" i="1"/>
  <c r="J33" i="1"/>
  <c r="J38" i="1" s="1"/>
  <c r="J9" i="1"/>
  <c r="W47" i="1" l="1"/>
  <c r="W49" i="1" s="1"/>
  <c r="K50" i="1"/>
  <c r="K13" i="1"/>
  <c r="K20" i="1" s="1"/>
  <c r="K22" i="1" s="1"/>
  <c r="H42" i="1"/>
  <c r="E42" i="1"/>
  <c r="J42" i="1"/>
  <c r="F42" i="1"/>
  <c r="I42" i="1"/>
  <c r="V24" i="1"/>
  <c r="G42" i="1"/>
  <c r="V47" i="1"/>
  <c r="V49" i="1" s="1"/>
  <c r="V68" i="1"/>
  <c r="H6" i="1"/>
  <c r="J29" i="1"/>
  <c r="I29" i="1"/>
  <c r="J28" i="1"/>
  <c r="I28" i="1"/>
  <c r="G9" i="1"/>
  <c r="I9" i="1"/>
  <c r="H9" i="1"/>
  <c r="K25" i="1" l="1"/>
  <c r="K16" i="1"/>
  <c r="I49" i="1"/>
  <c r="I48" i="1"/>
  <c r="I47" i="1"/>
  <c r="I50" i="1" s="1"/>
  <c r="J49" i="1"/>
  <c r="V3" i="1"/>
  <c r="V57" i="1" s="1"/>
  <c r="V59" i="1" s="1"/>
  <c r="J6" i="1"/>
  <c r="U66" i="1"/>
  <c r="U58" i="1"/>
  <c r="U3" i="1"/>
  <c r="U57" i="1" s="1"/>
  <c r="U59" i="1" s="1"/>
  <c r="I6" i="1"/>
  <c r="I13" i="1" l="1"/>
  <c r="U69" i="1"/>
  <c r="V25" i="1"/>
  <c r="V63" i="1"/>
  <c r="J50" i="1"/>
  <c r="V64" i="1"/>
  <c r="V69" i="1"/>
  <c r="V67" i="1"/>
  <c r="J13" i="1"/>
  <c r="V62" i="1" s="1"/>
  <c r="J7" i="1"/>
  <c r="I7" i="1"/>
  <c r="U67" i="1"/>
  <c r="U60" i="1" l="1"/>
  <c r="J20" i="1"/>
  <c r="J22" i="1" s="1"/>
  <c r="V60" i="1"/>
  <c r="J16" i="1"/>
  <c r="J14" i="1"/>
  <c r="I16" i="1"/>
  <c r="I37" i="1"/>
  <c r="I38" i="1" s="1"/>
  <c r="V61" i="1" l="1"/>
  <c r="J25" i="1"/>
  <c r="U64" i="1"/>
  <c r="U68" i="1"/>
  <c r="U63" i="1"/>
  <c r="U38" i="1"/>
  <c r="U27" i="1"/>
  <c r="U7" i="1"/>
  <c r="U47" i="1" l="1"/>
  <c r="I20" i="1" l="1"/>
  <c r="H37" i="1"/>
  <c r="H38" i="1" s="1"/>
  <c r="I22" i="1" l="1"/>
  <c r="U61" i="1" s="1"/>
  <c r="T38" i="1"/>
  <c r="T27" i="1"/>
  <c r="T15" i="1"/>
  <c r="T7" i="1"/>
  <c r="T3" i="1"/>
  <c r="H28" i="1"/>
  <c r="H29" i="1"/>
  <c r="T47" i="1" l="1"/>
  <c r="I25" i="1"/>
  <c r="J23" i="1"/>
  <c r="H13" i="1"/>
  <c r="I14" i="1" s="1"/>
  <c r="T24" i="1"/>
  <c r="T25" i="1" s="1"/>
  <c r="H20" i="1" l="1"/>
  <c r="H22" i="1" s="1"/>
  <c r="I23" i="1" s="1"/>
  <c r="H16" i="1"/>
  <c r="S66" i="1"/>
  <c r="H49" i="1"/>
  <c r="H48" i="1"/>
  <c r="H47" i="1"/>
  <c r="H46" i="1"/>
  <c r="T56" i="1"/>
  <c r="T58" i="1" s="1"/>
  <c r="T51" i="1"/>
  <c r="T68" i="1" l="1"/>
  <c r="T64" i="1"/>
  <c r="T63" i="1"/>
  <c r="H25" i="1"/>
  <c r="H50" i="1"/>
  <c r="T57" i="1"/>
  <c r="T59" i="1" s="1"/>
  <c r="T49" i="1"/>
  <c r="T62" i="1" s="1"/>
  <c r="T67" i="1" l="1"/>
  <c r="T69" i="1"/>
  <c r="N66" i="1"/>
  <c r="C49" i="1"/>
  <c r="D49" i="1"/>
  <c r="E49" i="1"/>
  <c r="F49" i="1"/>
  <c r="G49" i="1"/>
  <c r="B49" i="1"/>
  <c r="C48" i="1"/>
  <c r="D48" i="1"/>
  <c r="E48" i="1"/>
  <c r="F48" i="1"/>
  <c r="G48" i="1"/>
  <c r="B48" i="1"/>
  <c r="B47" i="1"/>
  <c r="C47" i="1"/>
  <c r="D47" i="1"/>
  <c r="P68" i="1" s="1"/>
  <c r="E47" i="1"/>
  <c r="Q68" i="1" s="1"/>
  <c r="F47" i="1"/>
  <c r="R68" i="1" s="1"/>
  <c r="G47" i="1"/>
  <c r="O66" i="1"/>
  <c r="P66" i="1"/>
  <c r="Q66" i="1"/>
  <c r="R66" i="1"/>
  <c r="S56" i="1"/>
  <c r="S58" i="1" s="1"/>
  <c r="R56" i="1"/>
  <c r="R58" i="1" s="1"/>
  <c r="Q56" i="1"/>
  <c r="Q58" i="1" s="1"/>
  <c r="P56" i="1"/>
  <c r="P58" i="1" s="1"/>
  <c r="O56" i="1"/>
  <c r="O58" i="1" s="1"/>
  <c r="N56" i="1"/>
  <c r="N58" i="1" s="1"/>
  <c r="B46" i="1"/>
  <c r="C46" i="1"/>
  <c r="D46" i="1"/>
  <c r="E46" i="1"/>
  <c r="F46" i="1"/>
  <c r="G46" i="1"/>
  <c r="F50" i="1" l="1"/>
  <c r="B50" i="1"/>
  <c r="D50" i="1"/>
  <c r="S68" i="1"/>
  <c r="T60" i="1"/>
  <c r="T61" i="1"/>
  <c r="G50" i="1"/>
  <c r="C50" i="1"/>
  <c r="E50" i="1"/>
  <c r="N68" i="1"/>
  <c r="O68" i="1"/>
  <c r="C37" i="1" l="1"/>
  <c r="S18" i="1" l="1"/>
  <c r="G29" i="1"/>
  <c r="F29" i="1"/>
  <c r="E29" i="1"/>
  <c r="G28" i="1"/>
  <c r="D28" i="1"/>
  <c r="E28" i="1"/>
  <c r="F28" i="1"/>
  <c r="C28" i="1"/>
  <c r="G21" i="1" l="1"/>
  <c r="C9" i="1"/>
  <c r="D9" i="1"/>
  <c r="E9" i="1"/>
  <c r="F9" i="1"/>
  <c r="B9" i="1"/>
  <c r="G6" i="1"/>
  <c r="G37" i="1"/>
  <c r="G38" i="1" s="1"/>
  <c r="F37" i="1"/>
  <c r="F38" i="1" s="1"/>
  <c r="E37" i="1"/>
  <c r="E38" i="1" s="1"/>
  <c r="D37" i="1"/>
  <c r="D38" i="1" s="1"/>
  <c r="C38" i="1"/>
  <c r="B37" i="1"/>
  <c r="B38" i="1" s="1"/>
  <c r="H7" i="1" l="1"/>
  <c r="J8" i="1"/>
  <c r="S67" i="1"/>
  <c r="S69" i="1"/>
  <c r="G13" i="1"/>
  <c r="B21" i="1"/>
  <c r="H14" i="1" l="1"/>
  <c r="J15" i="1"/>
  <c r="G16" i="1"/>
  <c r="S60" i="1"/>
  <c r="G20" i="1"/>
  <c r="G22" i="1" s="1"/>
  <c r="O50" i="1"/>
  <c r="N50" i="1"/>
  <c r="R51" i="1"/>
  <c r="Q51" i="1"/>
  <c r="P51" i="1"/>
  <c r="O51" i="1"/>
  <c r="N51" i="1"/>
  <c r="S51" i="1"/>
  <c r="S38" i="1"/>
  <c r="S27" i="1"/>
  <c r="S15" i="1"/>
  <c r="S7" i="1"/>
  <c r="S3" i="1"/>
  <c r="N38" i="1"/>
  <c r="N28" i="1"/>
  <c r="J24" i="1" l="1"/>
  <c r="S61" i="1"/>
  <c r="H23" i="1"/>
  <c r="S63" i="1"/>
  <c r="S64" i="1"/>
  <c r="G25" i="1"/>
  <c r="S57" i="1"/>
  <c r="S59" i="1" s="1"/>
  <c r="S47" i="1"/>
  <c r="S49" i="1" s="1"/>
  <c r="S62" i="1" s="1"/>
  <c r="S24" i="1"/>
  <c r="S25" i="1" s="1"/>
  <c r="O38" i="1"/>
  <c r="O28" i="1"/>
  <c r="N27" i="1"/>
  <c r="N47" i="1" s="1"/>
  <c r="N15" i="1"/>
  <c r="O15" i="1"/>
  <c r="N3" i="1"/>
  <c r="N7" i="1"/>
  <c r="O7" i="1"/>
  <c r="O3" i="1"/>
  <c r="P38" i="1"/>
  <c r="P27" i="1"/>
  <c r="P15" i="1"/>
  <c r="P7" i="1"/>
  <c r="P3" i="1"/>
  <c r="Q38" i="1"/>
  <c r="Q27" i="1"/>
  <c r="Q18" i="1"/>
  <c r="Q15" i="1" s="1"/>
  <c r="Q7" i="1"/>
  <c r="Q3" i="1"/>
  <c r="Q57" i="1" s="1"/>
  <c r="R38" i="1"/>
  <c r="R27" i="1"/>
  <c r="R18" i="1"/>
  <c r="R15" i="1" s="1"/>
  <c r="R7" i="1"/>
  <c r="R3" i="1"/>
  <c r="C41" i="1" l="1"/>
  <c r="C42" i="1" s="1"/>
  <c r="D41" i="1"/>
  <c r="D42" i="1" s="1"/>
  <c r="P64" i="1"/>
  <c r="P63" i="1"/>
  <c r="N57" i="1"/>
  <c r="N59" i="1" s="1"/>
  <c r="N63" i="1"/>
  <c r="N64" i="1"/>
  <c r="O64" i="1"/>
  <c r="O63" i="1"/>
  <c r="R63" i="1"/>
  <c r="R64" i="1"/>
  <c r="Q63" i="1"/>
  <c r="Q64" i="1"/>
  <c r="Q59" i="1"/>
  <c r="N49" i="1"/>
  <c r="O57" i="1"/>
  <c r="O59" i="1" s="1"/>
  <c r="R57" i="1"/>
  <c r="R59" i="1" s="1"/>
  <c r="P57" i="1"/>
  <c r="P59" i="1" s="1"/>
  <c r="O27" i="1"/>
  <c r="O47" i="1" s="1"/>
  <c r="O49" i="1" s="1"/>
  <c r="R24" i="1"/>
  <c r="R25" i="1" s="1"/>
  <c r="Q47" i="1"/>
  <c r="Q49" i="1" s="1"/>
  <c r="R47" i="1"/>
  <c r="R49" i="1" s="1"/>
  <c r="Q24" i="1"/>
  <c r="Q25" i="1" s="1"/>
  <c r="P24" i="1"/>
  <c r="P25" i="1" s="1"/>
  <c r="N24" i="1"/>
  <c r="N25" i="1" s="1"/>
  <c r="O24" i="1"/>
  <c r="O25" i="1" s="1"/>
  <c r="P47" i="1"/>
  <c r="P49" i="1" s="1"/>
  <c r="B4" i="1" l="1"/>
  <c r="B6" i="1" s="1"/>
  <c r="C4" i="1"/>
  <c r="C6" i="1" s="1"/>
  <c r="O67" i="1" s="1"/>
  <c r="D4" i="1"/>
  <c r="D6" i="1" s="1"/>
  <c r="G8" i="1" s="1"/>
  <c r="E4" i="1"/>
  <c r="E6" i="1" s="1"/>
  <c r="H8" i="1" s="1"/>
  <c r="F4" i="1"/>
  <c r="F6" i="1" s="1"/>
  <c r="I8" i="1" l="1"/>
  <c r="G7" i="1"/>
  <c r="O69" i="1"/>
  <c r="Q69" i="1"/>
  <c r="Q67" i="1"/>
  <c r="P69" i="1"/>
  <c r="P67" i="1"/>
  <c r="R67" i="1"/>
  <c r="R69" i="1"/>
  <c r="B13" i="1"/>
  <c r="N69" i="1"/>
  <c r="N67" i="1"/>
  <c r="D13" i="1"/>
  <c r="P62" i="1" s="1"/>
  <c r="D7" i="1"/>
  <c r="C7" i="1"/>
  <c r="C13" i="1"/>
  <c r="E7" i="1"/>
  <c r="E13" i="1"/>
  <c r="Q62" i="1" s="1"/>
  <c r="E8" i="1"/>
  <c r="F8" i="1"/>
  <c r="F7" i="1"/>
  <c r="F13" i="1"/>
  <c r="B20" i="1"/>
  <c r="B16" i="1" l="1"/>
  <c r="N62" i="1"/>
  <c r="O60" i="1"/>
  <c r="O62" i="1"/>
  <c r="I15" i="1"/>
  <c r="R62" i="1"/>
  <c r="Q60" i="1"/>
  <c r="H15" i="1"/>
  <c r="P60" i="1"/>
  <c r="G15" i="1"/>
  <c r="R60" i="1"/>
  <c r="G14" i="1"/>
  <c r="N60" i="1"/>
  <c r="E14" i="1"/>
  <c r="E20" i="1"/>
  <c r="E16" i="1"/>
  <c r="E15" i="1"/>
  <c r="B22" i="1"/>
  <c r="N61" i="1" s="1"/>
  <c r="F20" i="1"/>
  <c r="F16" i="1"/>
  <c r="F15" i="1"/>
  <c r="F14" i="1"/>
  <c r="C20" i="1"/>
  <c r="C16" i="1"/>
  <c r="C14" i="1"/>
  <c r="D20" i="1"/>
  <c r="D14" i="1"/>
  <c r="D16" i="1"/>
  <c r="B25" i="1" l="1"/>
  <c r="D22" i="1"/>
  <c r="G24" i="1" s="1"/>
  <c r="F22" i="1"/>
  <c r="I24" i="1" s="1"/>
  <c r="C22" i="1"/>
  <c r="E22" i="1"/>
  <c r="F24" i="1" l="1"/>
  <c r="E24" i="1"/>
  <c r="H24" i="1"/>
  <c r="P61" i="1"/>
  <c r="D25" i="1"/>
  <c r="D23" i="1"/>
  <c r="Q61" i="1"/>
  <c r="E25" i="1"/>
  <c r="E23" i="1"/>
  <c r="O61" i="1"/>
  <c r="C25" i="1"/>
  <c r="C23" i="1"/>
  <c r="R61" i="1"/>
  <c r="F25" i="1"/>
  <c r="F23" i="1"/>
  <c r="G23" i="1"/>
  <c r="U51" i="1"/>
  <c r="U15" i="1"/>
  <c r="U49" i="1" s="1"/>
  <c r="U62" i="1" s="1"/>
  <c r="U24" i="1" l="1"/>
  <c r="U25" i="1" s="1"/>
</calcChain>
</file>

<file path=xl/sharedStrings.xml><?xml version="1.0" encoding="utf-8"?>
<sst xmlns="http://schemas.openxmlformats.org/spreadsheetml/2006/main" count="158" uniqueCount="109">
  <si>
    <t>License Fees</t>
  </si>
  <si>
    <t>Other Operating Income</t>
  </si>
  <si>
    <t>Other Income</t>
  </si>
  <si>
    <t>Growth (%)</t>
  </si>
  <si>
    <t>CAGR (%) - 3 years</t>
  </si>
  <si>
    <t>Total Expenses</t>
  </si>
  <si>
    <t>Employee benefits expenses</t>
  </si>
  <si>
    <t>Finance costs</t>
  </si>
  <si>
    <t>Depreciation and amortisation expenses</t>
  </si>
  <si>
    <t>Property management expenses</t>
  </si>
  <si>
    <t>Other expenses</t>
  </si>
  <si>
    <t>EBITDA</t>
  </si>
  <si>
    <t>EBITDA Margin (%)</t>
  </si>
  <si>
    <t>PBT</t>
  </si>
  <si>
    <t>Tax Expense</t>
  </si>
  <si>
    <t>PAT</t>
  </si>
  <si>
    <t>PAT Margin (%)</t>
  </si>
  <si>
    <t>EPS</t>
  </si>
  <si>
    <t>FY16</t>
  </si>
  <si>
    <t>FY17</t>
  </si>
  <si>
    <t>FY18</t>
  </si>
  <si>
    <t>FY19</t>
  </si>
  <si>
    <t>FY20</t>
  </si>
  <si>
    <t>FY21</t>
  </si>
  <si>
    <t>(INR Mn)</t>
  </si>
  <si>
    <t>Less: Exceptional Items</t>
  </si>
  <si>
    <t>EQUITY</t>
  </si>
  <si>
    <t>Equity Share Capital</t>
  </si>
  <si>
    <t>Other Equity</t>
  </si>
  <si>
    <t>a) Financial Liabilities</t>
  </si>
  <si>
    <t>i) Borrowings</t>
  </si>
  <si>
    <t>ii) Other financial liabilities</t>
  </si>
  <si>
    <t>b) Provisions</t>
  </si>
  <si>
    <t>c) Deferred tax liabilities (net)</t>
  </si>
  <si>
    <t>d) Other non-current liabilities</t>
  </si>
  <si>
    <t>ii) Trade Payables</t>
  </si>
  <si>
    <t>iii) Other financial liabilities</t>
  </si>
  <si>
    <t>b) Other current liabilities</t>
  </si>
  <si>
    <t>c) Provisions</t>
  </si>
  <si>
    <t>d) Current tax liabilities (net)</t>
  </si>
  <si>
    <t>TOTAL LIABILITIES</t>
  </si>
  <si>
    <t>TOTAL EQUITY AND LIABILITIES</t>
  </si>
  <si>
    <t>NON-CURRENT LIABILITIES</t>
  </si>
  <si>
    <t>CURRENT LIABILITIES</t>
  </si>
  <si>
    <t>NON-CURRENT ASSETS</t>
  </si>
  <si>
    <t>a) Property, plant and equipment</t>
  </si>
  <si>
    <t>b) Capital work-in-progress</t>
  </si>
  <si>
    <t>c) Investment properties</t>
  </si>
  <si>
    <t>d) Intangible assets</t>
  </si>
  <si>
    <t>e) Financial assets</t>
  </si>
  <si>
    <t>i) Loans</t>
  </si>
  <si>
    <t>ii) Other Financial Assets</t>
  </si>
  <si>
    <t>f) Non-current tax assets (net)</t>
  </si>
  <si>
    <t>g) Other non-current assets</t>
  </si>
  <si>
    <t>CURRENT ASSETS</t>
  </si>
  <si>
    <t>a) Financial Assets</t>
  </si>
  <si>
    <t>i) Trade Receivables</t>
  </si>
  <si>
    <t>iii) Bank balances other than ii) above</t>
  </si>
  <si>
    <t>TOTAL ASSETS</t>
  </si>
  <si>
    <t>iv) Short term loans &amp; advances</t>
  </si>
  <si>
    <t>Capital Employed</t>
  </si>
  <si>
    <t>Gross Block</t>
  </si>
  <si>
    <t>Loans</t>
  </si>
  <si>
    <t>CMP(INR)</t>
  </si>
  <si>
    <t>EPS (INR)</t>
  </si>
  <si>
    <t>INCOME STATEMENT</t>
  </si>
  <si>
    <t>BALANCE SHEET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</si>
  <si>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</si>
  <si>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</si>
  <si>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</si>
  <si>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</si>
  <si>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</si>
  <si>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</si>
  <si>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</si>
  <si>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ii) Cash and cash equivalents</t>
  </si>
  <si>
    <t>FY22</t>
  </si>
  <si>
    <t>Total Income</t>
  </si>
  <si>
    <t>BVPS (INR)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</si>
  <si>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</si>
  <si>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</si>
  <si>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</si>
  <si>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</si>
  <si>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</si>
  <si>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</si>
  <si>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</si>
  <si>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Bank</t>
  </si>
  <si>
    <t>EV</t>
  </si>
  <si>
    <t>P/E (x)</t>
  </si>
  <si>
    <t>P/BV (x)</t>
  </si>
  <si>
    <t>EV/EBITDA</t>
  </si>
  <si>
    <t>ROE (%)</t>
  </si>
  <si>
    <t>ROCE (%)</t>
  </si>
  <si>
    <t>Gross D/E (x)</t>
  </si>
  <si>
    <t>Net D/E (x)</t>
  </si>
  <si>
    <t>DPS (INR)</t>
  </si>
  <si>
    <t>Dividend Yield</t>
  </si>
  <si>
    <t>Debtor Days</t>
  </si>
  <si>
    <t>Interest Cost</t>
  </si>
  <si>
    <t>Fixed Asset Turnover</t>
  </si>
  <si>
    <t>KEY RATIOS</t>
  </si>
  <si>
    <t>v) Other financial assets</t>
  </si>
  <si>
    <t>Other current assets</t>
  </si>
  <si>
    <t>FY23</t>
  </si>
  <si>
    <t>Board, subject to shareholders approval in AGM</t>
  </si>
  <si>
    <t>Trailing Twelve Months</t>
  </si>
  <si>
    <t>FY24</t>
  </si>
  <si>
    <t>As of FY24, *Rs. 15 Interim (paid) + Rs. 11 Final proposed by</t>
  </si>
  <si>
    <t>H1-FY25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</si>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</sst>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  <numFmt numFmtId="167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7" fontId="9" fillId="0" borderId="0" applyFont="0" applyFill="0" applyBorder="0" applyAlignment="0" applyProtection="0"/>
  </cellStyleXfs>
  <cellXfs count="107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0" fontId="0" fillId="0" borderId="6" xfId="0" applyBorder="1"/>
    <xf numFmtId="0" fontId="2" fillId="0" borderId="1" xfId="0" applyFont="1" applyBorder="1" applyAlignment="1">
      <alignment horizontal="center"/>
    </xf>
    <xf numFmtId="164" fontId="0" fillId="0" borderId="6" xfId="0" applyNumberFormat="1" applyBorder="1"/>
    <xf numFmtId="0" fontId="0" fillId="0" borderId="7" xfId="0" applyBorder="1"/>
    <xf numFmtId="164" fontId="0" fillId="0" borderId="7" xfId="0" applyNumberForma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3" fillId="2" borderId="6" xfId="0" applyFont="1" applyFill="1" applyBorder="1"/>
    <xf numFmtId="10" fontId="3" fillId="2" borderId="6" xfId="1" applyNumberFormat="1" applyFont="1" applyFill="1" applyBorder="1"/>
    <xf numFmtId="10" fontId="3" fillId="2" borderId="3" xfId="1" applyNumberFormat="1" applyFont="1" applyFill="1" applyBorder="1"/>
    <xf numFmtId="0" fontId="2" fillId="2" borderId="6" xfId="0" applyFont="1" applyFill="1" applyBorder="1"/>
    <xf numFmtId="164" fontId="2" fillId="2" borderId="6" xfId="0" applyNumberFormat="1" applyFont="1" applyFill="1" applyBorder="1"/>
    <xf numFmtId="10" fontId="2" fillId="2" borderId="6" xfId="1" applyNumberFormat="1" applyFont="1" applyFill="1" applyBorder="1"/>
    <xf numFmtId="10" fontId="2" fillId="2" borderId="3" xfId="1" applyNumberFormat="1" applyFont="1" applyFill="1" applyBorder="1"/>
    <xf numFmtId="0" fontId="3" fillId="2" borderId="7" xfId="0" applyFont="1" applyFill="1" applyBorder="1"/>
    <xf numFmtId="10" fontId="3" fillId="2" borderId="7" xfId="1" applyNumberFormat="1" applyFont="1" applyFill="1" applyBorder="1"/>
    <xf numFmtId="164" fontId="3" fillId="2" borderId="3" xfId="0" applyNumberFormat="1" applyFont="1" applyFill="1" applyBorder="1"/>
    <xf numFmtId="164" fontId="3" fillId="2" borderId="6" xfId="0" applyNumberFormat="1" applyFont="1" applyFill="1" applyBorder="1"/>
    <xf numFmtId="164" fontId="0" fillId="0" borderId="3" xfId="0" applyNumberFormat="1" applyBorder="1"/>
    <xf numFmtId="164" fontId="0" fillId="0" borderId="0" xfId="0" applyNumberFormat="1"/>
    <xf numFmtId="0" fontId="0" fillId="0" borderId="6" xfId="0" applyBorder="1" applyAlignment="1">
      <alignment wrapText="1"/>
    </xf>
    <xf numFmtId="164" fontId="2" fillId="2" borderId="5" xfId="0" applyNumberFormat="1" applyFont="1" applyFill="1" applyBorder="1"/>
    <xf numFmtId="2" fontId="0" fillId="0" borderId="0" xfId="0" applyNumberFormat="1"/>
    <xf numFmtId="0" fontId="3" fillId="2" borderId="9" xfId="0" applyFont="1" applyFill="1" applyBorder="1"/>
    <xf numFmtId="10" fontId="1" fillId="0" borderId="6" xfId="1" applyNumberFormat="1" applyFont="1" applyFill="1" applyBorder="1"/>
    <xf numFmtId="10" fontId="1" fillId="0" borderId="0" xfId="1" applyNumberFormat="1" applyFont="1" applyFill="1" applyBorder="1"/>
    <xf numFmtId="164" fontId="3" fillId="2" borderId="8" xfId="0" applyNumberFormat="1" applyFont="1" applyFill="1" applyBorder="1"/>
    <xf numFmtId="10" fontId="3" fillId="2" borderId="8" xfId="1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65" fontId="4" fillId="2" borderId="1" xfId="2" applyNumberFormat="1" applyFont="1" applyFill="1" applyBorder="1"/>
    <xf numFmtId="0" fontId="4" fillId="2" borderId="1" xfId="0" applyFont="1" applyFill="1" applyBorder="1"/>
    <xf numFmtId="165" fontId="5" fillId="0" borderId="1" xfId="2" applyNumberFormat="1" applyFont="1" applyFill="1" applyBorder="1"/>
    <xf numFmtId="165" fontId="4" fillId="0" borderId="1" xfId="2" applyNumberFormat="1" applyFont="1" applyFill="1" applyBorder="1"/>
    <xf numFmtId="43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2" applyNumberFormat="1" applyFont="1" applyBorder="1"/>
    <xf numFmtId="166" fontId="0" fillId="0" borderId="1" xfId="2" applyNumberFormat="1" applyFont="1" applyBorder="1"/>
    <xf numFmtId="164" fontId="0" fillId="0" borderId="1" xfId="0" applyNumberFormat="1" applyBorder="1"/>
    <xf numFmtId="0" fontId="2" fillId="0" borderId="0" xfId="0" applyFont="1"/>
    <xf numFmtId="165" fontId="2" fillId="0" borderId="0" xfId="0" applyNumberFormat="1" applyFont="1"/>
    <xf numFmtId="165" fontId="2" fillId="2" borderId="1" xfId="2" applyNumberFormat="1" applyFont="1" applyFill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64" fontId="4" fillId="2" borderId="1" xfId="0" applyNumberFormat="1" applyFont="1" applyFill="1" applyBorder="1"/>
    <xf numFmtId="0" fontId="5" fillId="0" borderId="6" xfId="0" applyFont="1" applyBorder="1"/>
    <xf numFmtId="164" fontId="5" fillId="0" borderId="6" xfId="0" applyNumberFormat="1" applyFont="1" applyBorder="1"/>
    <xf numFmtId="164" fontId="5" fillId="0" borderId="3" xfId="0" applyNumberFormat="1" applyFont="1" applyBorder="1"/>
    <xf numFmtId="1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" fontId="5" fillId="0" borderId="3" xfId="0" applyNumberFormat="1" applyFont="1" applyBorder="1"/>
    <xf numFmtId="0" fontId="4" fillId="2" borderId="7" xfId="0" applyFont="1" applyFill="1" applyBorder="1"/>
    <xf numFmtId="164" fontId="4" fillId="2" borderId="7" xfId="0" applyNumberFormat="1" applyFont="1" applyFill="1" applyBorder="1"/>
    <xf numFmtId="1" fontId="5" fillId="0" borderId="6" xfId="0" applyNumberFormat="1" applyFont="1" applyBorder="1"/>
    <xf numFmtId="164" fontId="5" fillId="0" borderId="8" xfId="0" applyNumberFormat="1" applyFont="1" applyBorder="1"/>
    <xf numFmtId="164" fontId="5" fillId="0" borderId="2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5" fillId="2" borderId="5" xfId="0" applyNumberFormat="1" applyFont="1" applyFill="1" applyBorder="1"/>
    <xf numFmtId="0" fontId="5" fillId="2" borderId="7" xfId="0" applyFont="1" applyFill="1" applyBorder="1"/>
    <xf numFmtId="164" fontId="5" fillId="2" borderId="7" xfId="0" applyNumberFormat="1" applyFont="1" applyFill="1" applyBorder="1"/>
    <xf numFmtId="164" fontId="5" fillId="2" borderId="4" xfId="0" applyNumberFormat="1" applyFont="1" applyFill="1" applyBorder="1"/>
    <xf numFmtId="0" fontId="5" fillId="0" borderId="0" xfId="0" applyFont="1"/>
    <xf numFmtId="2" fontId="5" fillId="0" borderId="1" xfId="0" applyNumberFormat="1" applyFont="1" applyBorder="1"/>
    <xf numFmtId="43" fontId="5" fillId="0" borderId="1" xfId="0" applyNumberFormat="1" applyFont="1" applyBorder="1"/>
    <xf numFmtId="10" fontId="5" fillId="0" borderId="1" xfId="1" applyNumberFormat="1" applyFont="1" applyBorder="1"/>
    <xf numFmtId="0" fontId="3" fillId="2" borderId="8" xfId="0" applyFont="1" applyFill="1" applyBorder="1"/>
    <xf numFmtId="0" fontId="2" fillId="0" borderId="6" xfId="0" applyFont="1" applyBorder="1"/>
    <xf numFmtId="164" fontId="0" fillId="0" borderId="8" xfId="0" applyNumberFormat="1" applyBorder="1"/>
    <xf numFmtId="0" fontId="0" fillId="2" borderId="1" xfId="0" applyFill="1" applyBorder="1"/>
    <xf numFmtId="2" fontId="0" fillId="0" borderId="1" xfId="0" applyNumberFormat="1" applyBorder="1"/>
    <xf numFmtId="1" fontId="0" fillId="0" borderId="6" xfId="0" applyNumberFormat="1" applyBorder="1"/>
    <xf numFmtId="165" fontId="0" fillId="0" borderId="6" xfId="2" applyNumberFormat="1" applyFont="1" applyBorder="1"/>
    <xf numFmtId="165" fontId="0" fillId="0" borderId="8" xfId="2" applyNumberFormat="1" applyFont="1" applyBorder="1"/>
    <xf numFmtId="165" fontId="2" fillId="2" borderId="7" xfId="2" applyNumberFormat="1" applyFont="1" applyFill="1" applyBorder="1"/>
    <xf numFmtId="165" fontId="2" fillId="0" borderId="6" xfId="2" applyNumberFormat="1" applyFont="1" applyFill="1" applyBorder="1"/>
    <xf numFmtId="0" fontId="5" fillId="0" borderId="8" xfId="0" applyFont="1" applyBorder="1"/>
    <xf numFmtId="0" fontId="4" fillId="0" borderId="7" xfId="0" applyFont="1" applyBorder="1" applyAlignment="1">
      <alignment horizontal="center"/>
    </xf>
    <xf numFmtId="0" fontId="5" fillId="0" borderId="7" xfId="0" applyFont="1" applyBorder="1"/>
    <xf numFmtId="0" fontId="2" fillId="0" borderId="7" xfId="0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2" fontId="5" fillId="0" borderId="6" xfId="0" applyNumberFormat="1" applyFont="1" applyBorder="1"/>
    <xf numFmtId="0" fontId="4" fillId="0" borderId="0" xfId="0" applyFont="1" applyAlignment="1">
      <alignment horizontal="center"/>
    </xf>
    <xf numFmtId="167" fontId="8" fillId="0" borderId="6" xfId="3" applyNumberFormat="1" applyFont="1" applyBorder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0" fillId="0" borderId="6" xfId="0" applyNumberFormat="1" applyFill="1" applyBorder="1"/>
    <xf numFmtId="164" fontId="0" fillId="0" borderId="7" xfId="0" applyNumberFormat="1" applyFill="1" applyBorder="1"/>
    <xf numFmtId="164" fontId="5" fillId="0" borderId="6" xfId="0" applyNumberFormat="1" applyFont="1" applyFill="1" applyBorder="1"/>
    <xf numFmtId="0" fontId="0" fillId="0" borderId="6" xfId="0" applyFill="1" applyBorder="1"/>
    <xf numFmtId="1" fontId="5" fillId="0" borderId="6" xfId="0" applyNumberFormat="1" applyFont="1" applyFill="1" applyBorder="1"/>
    <xf numFmtId="2" fontId="5" fillId="0" borderId="6" xfId="0" applyNumberFormat="1" applyFont="1" applyFill="1" applyBorder="1"/>
    <xf numFmtId="0" fontId="5" fillId="0" borderId="8" xfId="0" applyFont="1" applyFill="1" applyBorder="1"/>
    <xf numFmtId="2" fontId="0" fillId="0" borderId="1" xfId="0" applyNumberFormat="1" applyFill="1" applyBorder="1"/>
    <xf numFmtId="43" fontId="5" fillId="0" borderId="1" xfId="0" applyNumberFormat="1" applyFont="1" applyFill="1" applyBorder="1"/>
    <xf numFmtId="2" fontId="5" fillId="0" borderId="1" xfId="0" applyNumberFormat="1" applyFont="1" applyFill="1" applyBorder="1"/>
    <xf numFmtId="2" fontId="0" fillId="0" borderId="1" xfId="0" applyNumberFormat="1" applyFill="1" applyBorder="1" applyAlignment="1">
      <alignment horizontal="right"/>
    </xf>
  </cellXfs>
  <cellStyles count="5">
    <cellStyle name="Comma" xfId="2" builtinId="3"/>
    <cellStyle name="Comma 10 11" xfId="4"/>
    <cellStyle name="Normal" xfId="0" builtinId="0"/>
    <cellStyle name="Normal 1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F1" zoomScale="85" zoomScaleNormal="85" workbookViewId="0">
      <selection activeCell="K27" sqref="K27"/>
    </sheetView>
  </sheetViews>
  <sheetFormatPr defaultRowHeight="14.4" x14ac:dyDescent="0.3"/>
  <cols>
    <col min="1" max="1" width="41" customWidth="1"/>
    <col min="2" max="2" width="12.44140625" bestFit="1" customWidth="1"/>
    <col min="3" max="9" width="12" customWidth="1"/>
    <col min="10" max="10" width="12.44140625" bestFit="1" customWidth="1"/>
    <col min="11" max="11" width="12.44140625" customWidth="1"/>
    <col min="12" max="12" width="5.33203125" customWidth="1"/>
    <col min="13" max="13" width="33.5546875" customWidth="1"/>
    <col min="14" max="19" width="10.6640625" customWidth="1"/>
    <col min="24" max="24" width="51.33203125" customWidth="1"/>
  </cols>
  <sheetData>
    <row r="1" spans="1:24" x14ac:dyDescent="0.3">
      <c r="A1" s="93" t="s">
        <v>65</v>
      </c>
      <c r="B1" s="93"/>
      <c r="C1" s="93"/>
      <c r="D1" s="93"/>
      <c r="E1" s="93"/>
      <c r="F1" s="93"/>
      <c r="G1" s="93"/>
      <c r="H1" s="93"/>
      <c r="I1" s="47"/>
      <c r="J1" s="47"/>
      <c r="K1" s="47"/>
      <c r="M1" s="94" t="s">
        <v>66</v>
      </c>
      <c r="N1" s="94"/>
      <c r="O1" s="94"/>
      <c r="P1" s="94"/>
      <c r="Q1" s="94"/>
      <c r="R1" s="94"/>
      <c r="S1" s="94"/>
      <c r="T1" s="94"/>
    </row>
    <row r="2" spans="1:24" x14ac:dyDescent="0.3">
      <c r="A2" s="2" t="s">
        <v>24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1" t="s">
        <v>23</v>
      </c>
      <c r="H2" s="1" t="s">
        <v>75</v>
      </c>
      <c r="I2" s="4" t="s">
        <v>102</v>
      </c>
      <c r="J2" s="4" t="s">
        <v>105</v>
      </c>
      <c r="K2" s="4" t="s">
        <v>107</v>
      </c>
      <c r="M2" s="48" t="s">
        <v>24</v>
      </c>
      <c r="N2" s="32" t="s">
        <v>18</v>
      </c>
      <c r="O2" s="32" t="s">
        <v>19</v>
      </c>
      <c r="P2" s="32" t="s">
        <v>20</v>
      </c>
      <c r="Q2" s="32" t="s">
        <v>21</v>
      </c>
      <c r="R2" s="32" t="s">
        <v>22</v>
      </c>
      <c r="S2" s="49" t="s">
        <v>23</v>
      </c>
      <c r="T2" s="32" t="s">
        <v>75</v>
      </c>
      <c r="U2" s="4" t="s">
        <v>102</v>
      </c>
      <c r="V2" s="4" t="s">
        <v>105</v>
      </c>
      <c r="W2" s="4" t="s">
        <v>107</v>
      </c>
    </row>
    <row r="3" spans="1:24" x14ac:dyDescent="0.3">
      <c r="A3" s="3" t="s">
        <v>0</v>
      </c>
      <c r="B3" s="78">
        <v>2518.4430000000002</v>
      </c>
      <c r="C3" s="78">
        <v>2486.855</v>
      </c>
      <c r="D3" s="78">
        <v>2485.681</v>
      </c>
      <c r="E3" s="79">
        <v>2555.7049999999999</v>
      </c>
      <c r="F3" s="78">
        <v>2664.7089999999998</v>
      </c>
      <c r="G3" s="78">
        <v>2753</v>
      </c>
      <c r="H3" s="78">
        <v>3415.5610000000001</v>
      </c>
      <c r="I3" s="78">
        <v>5151.2179999999998</v>
      </c>
      <c r="J3" s="78">
        <v>5348</v>
      </c>
      <c r="K3" s="78">
        <v>2822.3290000000002</v>
      </c>
      <c r="M3" s="35" t="s">
        <v>26</v>
      </c>
      <c r="N3" s="50">
        <f t="shared" ref="N3:W3" si="0">N4+N5</f>
        <v>14555.928</v>
      </c>
      <c r="O3" s="50">
        <f t="shared" si="0"/>
        <v>15048.655000000001</v>
      </c>
      <c r="P3" s="50">
        <f t="shared" si="0"/>
        <v>4204.1189999999997</v>
      </c>
      <c r="Q3" s="50">
        <f t="shared" si="0"/>
        <v>3524.6189999999997</v>
      </c>
      <c r="R3" s="50">
        <f t="shared" si="0"/>
        <v>4537.9110000000001</v>
      </c>
      <c r="S3" s="50">
        <f t="shared" si="0"/>
        <v>5744.34</v>
      </c>
      <c r="T3" s="50">
        <f t="shared" si="0"/>
        <v>4779.7520000000004</v>
      </c>
      <c r="U3" s="50">
        <f t="shared" si="0"/>
        <v>4017.98</v>
      </c>
      <c r="V3" s="50">
        <f t="shared" si="0"/>
        <v>3730.5039999999999</v>
      </c>
      <c r="W3" s="50">
        <f t="shared" si="0"/>
        <v>3802.39</v>
      </c>
    </row>
    <row r="4" spans="1:24" x14ac:dyDescent="0.3">
      <c r="A4" s="3" t="s">
        <v>1</v>
      </c>
      <c r="B4" s="5">
        <f>325.565+44.555</f>
        <v>370.12</v>
      </c>
      <c r="C4" s="5">
        <f>323.764+65.936</f>
        <v>389.70000000000005</v>
      </c>
      <c r="D4" s="5">
        <f>342.131+79.955</f>
        <v>422.08599999999996</v>
      </c>
      <c r="E4" s="5">
        <f>36.205+351.435+43.305</f>
        <v>430.94499999999999</v>
      </c>
      <c r="F4" s="5">
        <f>37.555+355.552+42.19</f>
        <v>435.29700000000003</v>
      </c>
      <c r="G4" s="5">
        <v>416</v>
      </c>
      <c r="H4" s="5">
        <v>423.88799999999998</v>
      </c>
      <c r="I4" s="5">
        <v>575.26199999999994</v>
      </c>
      <c r="J4" s="5">
        <v>684</v>
      </c>
      <c r="K4" s="91">
        <v>344.79700000000003</v>
      </c>
      <c r="M4" s="51" t="s">
        <v>27</v>
      </c>
      <c r="N4" s="52">
        <v>900.803</v>
      </c>
      <c r="O4" s="52">
        <v>901.18</v>
      </c>
      <c r="P4" s="52">
        <v>901.18</v>
      </c>
      <c r="Q4" s="52">
        <v>901.18</v>
      </c>
      <c r="R4" s="52">
        <v>901.18</v>
      </c>
      <c r="S4" s="53">
        <v>901.18</v>
      </c>
      <c r="T4" s="5">
        <v>901.18</v>
      </c>
      <c r="U4" s="5">
        <v>901.18</v>
      </c>
      <c r="V4" s="5">
        <v>901.18</v>
      </c>
      <c r="W4" s="96">
        <v>901.18</v>
      </c>
    </row>
    <row r="5" spans="1:24" x14ac:dyDescent="0.3">
      <c r="A5" s="6" t="s">
        <v>2</v>
      </c>
      <c r="B5" s="7">
        <v>9.9849999999999994</v>
      </c>
      <c r="C5" s="7">
        <v>49.048000000000002</v>
      </c>
      <c r="D5" s="7">
        <v>27.902000000000001</v>
      </c>
      <c r="E5" s="7">
        <v>13.048</v>
      </c>
      <c r="F5" s="7">
        <v>9.923</v>
      </c>
      <c r="G5" s="7">
        <v>24.626000000000001</v>
      </c>
      <c r="H5" s="7">
        <v>27.771999999999998</v>
      </c>
      <c r="I5" s="7">
        <v>29.608000000000001</v>
      </c>
      <c r="J5" s="7">
        <v>42</v>
      </c>
      <c r="K5" s="7">
        <v>37.095999999999997</v>
      </c>
      <c r="M5" s="51" t="s">
        <v>28</v>
      </c>
      <c r="N5" s="52">
        <v>13655.125</v>
      </c>
      <c r="O5" s="52">
        <v>14147.475</v>
      </c>
      <c r="P5" s="52">
        <v>3302.9389999999999</v>
      </c>
      <c r="Q5" s="52">
        <v>2623.4389999999999</v>
      </c>
      <c r="R5" s="52">
        <v>3636.7310000000002</v>
      </c>
      <c r="S5" s="53">
        <v>4843.16</v>
      </c>
      <c r="T5" s="5">
        <v>3878.5720000000001</v>
      </c>
      <c r="U5" s="52">
        <v>3116.8</v>
      </c>
      <c r="V5" s="52">
        <v>2829.3240000000001</v>
      </c>
      <c r="W5" s="98">
        <v>2901.21</v>
      </c>
    </row>
    <row r="6" spans="1:24" x14ac:dyDescent="0.3">
      <c r="A6" s="8" t="s">
        <v>76</v>
      </c>
      <c r="B6" s="80">
        <f>SUM(B3:B5)</f>
        <v>2898.5480000000002</v>
      </c>
      <c r="C6" s="80">
        <f t="shared" ref="C6:I6" si="1">SUM(C3:C5)</f>
        <v>2925.6030000000001</v>
      </c>
      <c r="D6" s="80">
        <f t="shared" si="1"/>
        <v>2935.6689999999999</v>
      </c>
      <c r="E6" s="80">
        <f t="shared" si="1"/>
        <v>2999.6979999999999</v>
      </c>
      <c r="F6" s="80">
        <f t="shared" si="1"/>
        <v>3109.9289999999996</v>
      </c>
      <c r="G6" s="80">
        <f t="shared" si="1"/>
        <v>3193.6260000000002</v>
      </c>
      <c r="H6" s="80">
        <f>SUM(H3:H5)</f>
        <v>3867.221</v>
      </c>
      <c r="I6" s="80">
        <f t="shared" si="1"/>
        <v>5756.0879999999997</v>
      </c>
      <c r="J6" s="80">
        <f t="shared" ref="J6:K6" si="2">SUM(J3:J5)</f>
        <v>6074</v>
      </c>
      <c r="K6" s="80">
        <f t="shared" si="2"/>
        <v>3204.2220000000002</v>
      </c>
      <c r="M6" s="51"/>
      <c r="N6" s="52"/>
      <c r="O6" s="52"/>
      <c r="P6" s="52"/>
      <c r="Q6" s="52"/>
      <c r="R6" s="52"/>
      <c r="S6" s="53"/>
      <c r="T6" s="6"/>
      <c r="U6" s="3"/>
      <c r="V6" s="3"/>
      <c r="W6" s="3"/>
    </row>
    <row r="7" spans="1:24" x14ac:dyDescent="0.3">
      <c r="A7" s="72" t="s">
        <v>3</v>
      </c>
      <c r="B7" s="20"/>
      <c r="C7" s="11">
        <f t="shared" ref="C7:F7" si="3">C6/B6-1</f>
        <v>9.3339837739447873E-3</v>
      </c>
      <c r="D7" s="11">
        <f t="shared" si="3"/>
        <v>3.4406582164427935E-3</v>
      </c>
      <c r="E7" s="11">
        <f t="shared" si="3"/>
        <v>2.1810701410819755E-2</v>
      </c>
      <c r="F7" s="11">
        <f t="shared" si="3"/>
        <v>3.6747365901500739E-2</v>
      </c>
      <c r="G7" s="11">
        <f>G6/F6-1</f>
        <v>2.6912833058246877E-2</v>
      </c>
      <c r="H7" s="11">
        <f>H6/G6-1</f>
        <v>0.21091856090850958</v>
      </c>
      <c r="I7" s="11">
        <f>I6/H6-1</f>
        <v>0.48843006386239618</v>
      </c>
      <c r="J7" s="11">
        <f>J6/I6-1</f>
        <v>5.5230566315177976E-2</v>
      </c>
      <c r="K7" s="11"/>
      <c r="M7" s="35" t="s">
        <v>42</v>
      </c>
      <c r="N7" s="50">
        <f t="shared" ref="N7:U7" si="4">SUM(N9:N13)</f>
        <v>6625.5730000000003</v>
      </c>
      <c r="O7" s="50">
        <f t="shared" si="4"/>
        <v>5777.3290000000006</v>
      </c>
      <c r="P7" s="50">
        <f t="shared" si="4"/>
        <v>7494.9310000000005</v>
      </c>
      <c r="Q7" s="50">
        <f t="shared" si="4"/>
        <v>10109.013000000001</v>
      </c>
      <c r="R7" s="50">
        <f t="shared" si="4"/>
        <v>12209.429999999998</v>
      </c>
      <c r="S7" s="50">
        <f t="shared" si="4"/>
        <v>12018.575000000001</v>
      </c>
      <c r="T7" s="50">
        <f t="shared" si="4"/>
        <v>14230.949000000001</v>
      </c>
      <c r="U7" s="50">
        <f t="shared" si="4"/>
        <v>14974.5</v>
      </c>
      <c r="V7" s="50">
        <f>SUM(V9:V13)</f>
        <v>15585.771000000001</v>
      </c>
      <c r="W7" s="50">
        <f>SUM(W9:W13)</f>
        <v>15795.851000000001</v>
      </c>
    </row>
    <row r="8" spans="1:24" x14ac:dyDescent="0.3">
      <c r="A8" s="10" t="s">
        <v>4</v>
      </c>
      <c r="B8" s="19"/>
      <c r="C8" s="20"/>
      <c r="D8" s="20"/>
      <c r="E8" s="11">
        <f t="shared" ref="E8:F8" si="5">(E6/B6)^(1/3)-1</f>
        <v>1.1499515190489085E-2</v>
      </c>
      <c r="F8" s="11">
        <f t="shared" si="5"/>
        <v>2.0575238544740193E-2</v>
      </c>
      <c r="G8" s="11">
        <f>(G6/D6)^(1/3)-1</f>
        <v>2.8471645357106556E-2</v>
      </c>
      <c r="H8" s="11">
        <f>(H6/E6)^(1/3)-1</f>
        <v>8.8363125822298549E-2</v>
      </c>
      <c r="I8" s="11">
        <f>(I6/F6)^(1/3)-1</f>
        <v>0.2277944057142014</v>
      </c>
      <c r="J8" s="11">
        <f>(J6/G6)^(1/3)-1</f>
        <v>0.23897795024932411</v>
      </c>
      <c r="K8" s="11"/>
      <c r="M8" s="51" t="s">
        <v>29</v>
      </c>
      <c r="N8" s="52"/>
      <c r="O8" s="52"/>
      <c r="P8" s="52"/>
      <c r="Q8" s="52"/>
      <c r="R8" s="52"/>
      <c r="S8" s="53"/>
      <c r="T8" s="3"/>
      <c r="U8" s="3"/>
      <c r="V8" s="3"/>
      <c r="W8" s="3"/>
    </row>
    <row r="9" spans="1:24" x14ac:dyDescent="0.3">
      <c r="A9" s="3" t="s">
        <v>5</v>
      </c>
      <c r="B9" s="21">
        <f>SUM(B10:B12)</f>
        <v>654.57100000000003</v>
      </c>
      <c r="C9" s="21">
        <f t="shared" ref="C9:F9" si="6">SUM(C10:C12)</f>
        <v>658.93499999999995</v>
      </c>
      <c r="D9" s="21">
        <f t="shared" si="6"/>
        <v>705.34899999999993</v>
      </c>
      <c r="E9" s="5">
        <f t="shared" si="6"/>
        <v>725.71399999999994</v>
      </c>
      <c r="F9" s="21">
        <f t="shared" si="6"/>
        <v>791.25</v>
      </c>
      <c r="G9" s="21">
        <f>SUM(G10:G12)</f>
        <v>797.20899999999995</v>
      </c>
      <c r="H9" s="21">
        <f>SUM(H10:H12)</f>
        <v>865.83400000000006</v>
      </c>
      <c r="I9" s="21">
        <f>SUM(I10:I12)</f>
        <v>1146.152</v>
      </c>
      <c r="J9" s="21">
        <f>SUM(J10:J12)</f>
        <v>1259.5999999999999</v>
      </c>
      <c r="K9" s="21">
        <f>SUM(K10:K12)</f>
        <v>678.08400000000006</v>
      </c>
      <c r="M9" s="51" t="s">
        <v>30</v>
      </c>
      <c r="N9" s="52">
        <v>5805.68</v>
      </c>
      <c r="O9" s="52">
        <v>5140.009</v>
      </c>
      <c r="P9" s="52">
        <v>6108.6570000000002</v>
      </c>
      <c r="Q9" s="52">
        <v>8533.9069999999992</v>
      </c>
      <c r="R9" s="52">
        <v>9633.9069999999992</v>
      </c>
      <c r="S9" s="53">
        <v>9783.9069999999992</v>
      </c>
      <c r="T9" s="5">
        <v>10938.828</v>
      </c>
      <c r="U9" s="52">
        <v>11450.2</v>
      </c>
      <c r="V9" s="52">
        <v>11455.775</v>
      </c>
      <c r="W9" s="98">
        <v>11458.442999999999</v>
      </c>
    </row>
    <row r="10" spans="1:24" x14ac:dyDescent="0.3">
      <c r="A10" s="3" t="s">
        <v>6</v>
      </c>
      <c r="B10" s="5">
        <v>76.748999999999995</v>
      </c>
      <c r="C10" s="5">
        <v>57.027000000000001</v>
      </c>
      <c r="D10" s="5">
        <v>57.155000000000001</v>
      </c>
      <c r="E10" s="5">
        <v>47.308</v>
      </c>
      <c r="F10" s="5">
        <v>53.043999999999997</v>
      </c>
      <c r="G10" s="5">
        <v>49.012999999999998</v>
      </c>
      <c r="H10" s="5">
        <v>48.097999999999999</v>
      </c>
      <c r="I10" s="5">
        <v>50.210999999999999</v>
      </c>
      <c r="J10" s="5">
        <v>53.6</v>
      </c>
      <c r="K10" s="96">
        <v>28.36</v>
      </c>
      <c r="M10" s="51" t="s">
        <v>31</v>
      </c>
      <c r="N10" s="54">
        <v>0</v>
      </c>
      <c r="O10" s="54">
        <v>0</v>
      </c>
      <c r="P10" s="52">
        <v>798.16499999999996</v>
      </c>
      <c r="Q10" s="52">
        <v>895.1</v>
      </c>
      <c r="R10" s="52">
        <v>1462.6420000000001</v>
      </c>
      <c r="S10" s="53">
        <v>1003.865</v>
      </c>
      <c r="T10" s="5">
        <v>1450.3240000000001</v>
      </c>
      <c r="U10" s="52">
        <v>1469.8</v>
      </c>
      <c r="V10" s="52">
        <v>1689.5530000000001</v>
      </c>
      <c r="W10" s="98">
        <v>1667.808</v>
      </c>
    </row>
    <row r="11" spans="1:24" x14ac:dyDescent="0.3">
      <c r="A11" s="3" t="s">
        <v>9</v>
      </c>
      <c r="B11" s="5">
        <v>0</v>
      </c>
      <c r="C11" s="5">
        <v>309.13799999999998</v>
      </c>
      <c r="D11" s="5">
        <v>316.53199999999998</v>
      </c>
      <c r="E11" s="5">
        <v>325.625</v>
      </c>
      <c r="F11" s="5">
        <v>324.16199999999998</v>
      </c>
      <c r="G11" s="5">
        <v>308.36599999999999</v>
      </c>
      <c r="H11" s="5">
        <v>320.58300000000003</v>
      </c>
      <c r="I11" s="5">
        <v>445.95499999999998</v>
      </c>
      <c r="J11" s="5">
        <v>527</v>
      </c>
      <c r="K11" s="96">
        <v>268.762</v>
      </c>
      <c r="M11" s="51" t="s">
        <v>32</v>
      </c>
      <c r="N11" s="52">
        <v>14.217000000000001</v>
      </c>
      <c r="O11" s="52">
        <v>2.2829999999999999</v>
      </c>
      <c r="P11" s="52">
        <v>3.036</v>
      </c>
      <c r="Q11" s="52">
        <v>4.04</v>
      </c>
      <c r="R11" s="52">
        <v>4.45</v>
      </c>
      <c r="S11" s="53">
        <v>4.7350000000000003</v>
      </c>
      <c r="T11" s="5">
        <v>4.8250000000000002</v>
      </c>
      <c r="U11" s="52">
        <v>2.7</v>
      </c>
      <c r="V11" s="52">
        <v>3.0840000000000001</v>
      </c>
      <c r="W11" s="98">
        <v>3.5139999999999998</v>
      </c>
    </row>
    <row r="12" spans="1:24" x14ac:dyDescent="0.3">
      <c r="A12" s="6" t="s">
        <v>10</v>
      </c>
      <c r="B12" s="7">
        <v>577.822</v>
      </c>
      <c r="C12" s="7">
        <v>292.77</v>
      </c>
      <c r="D12" s="7">
        <v>331.66199999999998</v>
      </c>
      <c r="E12" s="7">
        <v>352.78100000000001</v>
      </c>
      <c r="F12" s="7">
        <v>414.04399999999998</v>
      </c>
      <c r="G12" s="7">
        <v>439.83</v>
      </c>
      <c r="H12" s="7">
        <v>497.15300000000002</v>
      </c>
      <c r="I12" s="7">
        <v>649.98599999999999</v>
      </c>
      <c r="J12" s="7">
        <v>679</v>
      </c>
      <c r="K12" s="97">
        <v>380.96199999999999</v>
      </c>
      <c r="M12" s="51" t="s">
        <v>33</v>
      </c>
      <c r="N12" s="52">
        <v>348.30099999999999</v>
      </c>
      <c r="O12" s="52">
        <v>435.06200000000001</v>
      </c>
      <c r="P12" s="52">
        <v>381.68799999999999</v>
      </c>
      <c r="Q12" s="52">
        <v>493.23500000000001</v>
      </c>
      <c r="R12" s="52">
        <v>586.702</v>
      </c>
      <c r="S12" s="53">
        <v>751.41200000000003</v>
      </c>
      <c r="T12" s="5">
        <v>1188.934</v>
      </c>
      <c r="U12" s="52">
        <v>1530.3</v>
      </c>
      <c r="V12" s="52">
        <v>1963.1990000000001</v>
      </c>
      <c r="W12" s="98">
        <v>2259.4580000000001</v>
      </c>
      <c r="X12" s="22"/>
    </row>
    <row r="13" spans="1:24" x14ac:dyDescent="0.3">
      <c r="A13" s="8" t="s">
        <v>11</v>
      </c>
      <c r="B13" s="80">
        <f>B6-B9</f>
        <v>2243.9770000000003</v>
      </c>
      <c r="C13" s="80">
        <f t="shared" ref="C13:H13" si="7">C6-C9</f>
        <v>2266.6680000000001</v>
      </c>
      <c r="D13" s="80">
        <f t="shared" si="7"/>
        <v>2230.3199999999997</v>
      </c>
      <c r="E13" s="80">
        <f t="shared" si="7"/>
        <v>2273.9839999999999</v>
      </c>
      <c r="F13" s="80">
        <f t="shared" si="7"/>
        <v>2318.6789999999996</v>
      </c>
      <c r="G13" s="80">
        <f t="shared" si="7"/>
        <v>2396.4170000000004</v>
      </c>
      <c r="H13" s="80">
        <f t="shared" si="7"/>
        <v>3001.3869999999997</v>
      </c>
      <c r="I13" s="80">
        <f>I6-I9</f>
        <v>4609.9359999999997</v>
      </c>
      <c r="J13" s="80">
        <f>J6-J9</f>
        <v>4814.3999999999996</v>
      </c>
      <c r="K13" s="80">
        <f>K6-K9</f>
        <v>2526.1379999999999</v>
      </c>
      <c r="M13" s="51" t="s">
        <v>34</v>
      </c>
      <c r="N13" s="52">
        <v>457.375</v>
      </c>
      <c r="O13" s="52">
        <v>199.97499999999999</v>
      </c>
      <c r="P13" s="52">
        <v>203.38499999999999</v>
      </c>
      <c r="Q13" s="52">
        <v>182.73099999999999</v>
      </c>
      <c r="R13" s="52">
        <v>521.72900000000004</v>
      </c>
      <c r="S13" s="53">
        <v>474.65600000000001</v>
      </c>
      <c r="T13" s="5">
        <v>648.03800000000001</v>
      </c>
      <c r="U13" s="52">
        <v>521.5</v>
      </c>
      <c r="V13" s="52">
        <v>474.16</v>
      </c>
      <c r="W13" s="98">
        <v>406.62799999999999</v>
      </c>
    </row>
    <row r="14" spans="1:24" x14ac:dyDescent="0.3">
      <c r="A14" s="26" t="s">
        <v>3</v>
      </c>
      <c r="B14" s="29"/>
      <c r="C14" s="12">
        <f t="shared" ref="C14:H14" si="8">C13/B13-1</f>
        <v>1.0111957475499977E-2</v>
      </c>
      <c r="D14" s="12">
        <f t="shared" si="8"/>
        <v>-1.6035872920074912E-2</v>
      </c>
      <c r="E14" s="11">
        <f t="shared" si="8"/>
        <v>1.9577459736719538E-2</v>
      </c>
      <c r="F14" s="12">
        <f t="shared" si="8"/>
        <v>1.9654931609017323E-2</v>
      </c>
      <c r="G14" s="12">
        <f t="shared" si="8"/>
        <v>3.3526848692725819E-2</v>
      </c>
      <c r="H14" s="12">
        <f t="shared" si="8"/>
        <v>0.25244771673711175</v>
      </c>
      <c r="I14" s="12">
        <f>I13/H13-1</f>
        <v>0.53593521928361798</v>
      </c>
      <c r="J14" s="12">
        <f>J13/I13-1</f>
        <v>4.4352893402424654E-2</v>
      </c>
      <c r="K14" s="12"/>
      <c r="M14" s="51"/>
      <c r="N14" s="52"/>
      <c r="O14" s="52"/>
      <c r="P14" s="52"/>
      <c r="Q14" s="52"/>
      <c r="R14" s="52"/>
      <c r="S14" s="53"/>
      <c r="T14" s="6"/>
      <c r="U14" s="3"/>
      <c r="V14" s="3"/>
      <c r="W14" s="3"/>
    </row>
    <row r="15" spans="1:24" x14ac:dyDescent="0.3">
      <c r="A15" s="10" t="s">
        <v>4</v>
      </c>
      <c r="B15" s="10"/>
      <c r="C15" s="11"/>
      <c r="D15" s="11"/>
      <c r="E15" s="11">
        <f t="shared" ref="E15:J15" si="9">(E13/B13)^(1/3)-1</f>
        <v>4.4376912478556463E-3</v>
      </c>
      <c r="F15" s="11">
        <f t="shared" si="9"/>
        <v>7.5909043420427924E-3</v>
      </c>
      <c r="G15" s="11">
        <f t="shared" si="9"/>
        <v>2.4232150860502344E-2</v>
      </c>
      <c r="H15" s="11">
        <f t="shared" si="9"/>
        <v>9.6928189818025867E-2</v>
      </c>
      <c r="I15" s="11">
        <f t="shared" si="9"/>
        <v>0.2574327163765775</v>
      </c>
      <c r="J15" s="11">
        <f t="shared" si="9"/>
        <v>0.26180795056508788</v>
      </c>
      <c r="K15" s="11"/>
      <c r="M15" s="35" t="s">
        <v>43</v>
      </c>
      <c r="N15" s="50">
        <f t="shared" ref="N15:T15" si="10">SUM(N17:N22)</f>
        <v>2529.3829999999998</v>
      </c>
      <c r="O15" s="50">
        <f t="shared" si="10"/>
        <v>3013.7330000000002</v>
      </c>
      <c r="P15" s="50">
        <f t="shared" si="10"/>
        <v>732.11599999999999</v>
      </c>
      <c r="Q15" s="50">
        <f t="shared" si="10"/>
        <v>938.79</v>
      </c>
      <c r="R15" s="50">
        <f t="shared" si="10"/>
        <v>1132.201</v>
      </c>
      <c r="S15" s="50">
        <f t="shared" si="10"/>
        <v>1298.5129999999999</v>
      </c>
      <c r="T15" s="50">
        <f t="shared" si="10"/>
        <v>2976.0639999999999</v>
      </c>
      <c r="U15" s="50">
        <f>SUM(U17:U22)</f>
        <v>2019.6999999999998</v>
      </c>
      <c r="V15" s="50">
        <f>SUM(V17:V22)</f>
        <v>1945.912</v>
      </c>
      <c r="W15" s="50">
        <f>SUM(W17:W22)</f>
        <v>3090.7049999999999</v>
      </c>
    </row>
    <row r="16" spans="1:24" x14ac:dyDescent="0.3">
      <c r="A16" s="13" t="s">
        <v>12</v>
      </c>
      <c r="B16" s="15">
        <f t="shared" ref="B16:I16" si="11">B13/B6</f>
        <v>0.77417279272242523</v>
      </c>
      <c r="C16" s="15">
        <f t="shared" si="11"/>
        <v>0.77476950905505637</v>
      </c>
      <c r="D16" s="15">
        <f t="shared" si="11"/>
        <v>0.75973142748722688</v>
      </c>
      <c r="E16" s="15">
        <f t="shared" si="11"/>
        <v>0.75807097914523391</v>
      </c>
      <c r="F16" s="15">
        <f t="shared" si="11"/>
        <v>0.74557296967229791</v>
      </c>
      <c r="G16" s="15">
        <f t="shared" si="11"/>
        <v>0.75037496563467365</v>
      </c>
      <c r="H16" s="15">
        <f t="shared" si="11"/>
        <v>0.77610951119679994</v>
      </c>
      <c r="I16" s="15">
        <f t="shared" si="11"/>
        <v>0.80088004213973096</v>
      </c>
      <c r="J16" s="15">
        <f>J13/J6</f>
        <v>0.79262430029634501</v>
      </c>
      <c r="K16" s="15">
        <f>K13/K6</f>
        <v>0.78837795883056783</v>
      </c>
      <c r="M16" s="51" t="s">
        <v>29</v>
      </c>
      <c r="N16" s="52"/>
      <c r="O16" s="52"/>
      <c r="P16" s="52"/>
      <c r="Q16" s="52"/>
      <c r="R16" s="52"/>
      <c r="S16" s="53"/>
      <c r="T16" s="3"/>
      <c r="U16" s="3"/>
      <c r="V16" s="3"/>
      <c r="W16" s="3"/>
    </row>
    <row r="17" spans="1:23" x14ac:dyDescent="0.3">
      <c r="A17" s="3" t="s">
        <v>8</v>
      </c>
      <c r="B17" s="5">
        <v>804.88300000000004</v>
      </c>
      <c r="C17" s="5">
        <v>706.553</v>
      </c>
      <c r="D17" s="5">
        <v>722.15</v>
      </c>
      <c r="E17" s="5">
        <v>588.84100000000001</v>
      </c>
      <c r="F17" s="5">
        <v>532.5</v>
      </c>
      <c r="G17" s="5">
        <v>487.041</v>
      </c>
      <c r="H17" s="5">
        <v>754.87699999999995</v>
      </c>
      <c r="I17" s="5">
        <v>1027.758</v>
      </c>
      <c r="J17" s="5">
        <v>564.1</v>
      </c>
      <c r="K17" s="96">
        <v>284.65499999999997</v>
      </c>
      <c r="M17" s="51" t="s">
        <v>30</v>
      </c>
      <c r="N17" s="52">
        <v>152.191</v>
      </c>
      <c r="O17" s="55">
        <v>148.77000000000001</v>
      </c>
      <c r="P17" s="54">
        <v>0</v>
      </c>
      <c r="Q17" s="54">
        <v>0</v>
      </c>
      <c r="R17" s="52">
        <v>255.977</v>
      </c>
      <c r="S17" s="56">
        <v>0</v>
      </c>
      <c r="T17" s="5">
        <v>845.07799999999997</v>
      </c>
      <c r="U17" s="3">
        <v>0</v>
      </c>
      <c r="V17" s="3">
        <v>0</v>
      </c>
      <c r="W17" s="3">
        <v>0</v>
      </c>
    </row>
    <row r="18" spans="1:23" x14ac:dyDescent="0.3">
      <c r="A18" s="3" t="s">
        <v>7</v>
      </c>
      <c r="B18" s="5">
        <v>722.53300000000002</v>
      </c>
      <c r="C18" s="5">
        <v>779.58399999999995</v>
      </c>
      <c r="D18" s="5">
        <v>655.55399999999997</v>
      </c>
      <c r="E18" s="5">
        <v>697.16600000000005</v>
      </c>
      <c r="F18" s="5">
        <v>321.27100000000002</v>
      </c>
      <c r="G18" s="5">
        <v>140.328</v>
      </c>
      <c r="H18" s="5">
        <v>345.916</v>
      </c>
      <c r="I18" s="5">
        <v>1256.81</v>
      </c>
      <c r="J18" s="5">
        <v>1234.913</v>
      </c>
      <c r="K18" s="96">
        <v>594.07000000000005</v>
      </c>
      <c r="M18" s="51" t="s">
        <v>35</v>
      </c>
      <c r="N18" s="52">
        <v>93.659000000000006</v>
      </c>
      <c r="O18" s="52">
        <v>67.265000000000001</v>
      </c>
      <c r="P18" s="52">
        <v>65.757000000000005</v>
      </c>
      <c r="Q18" s="52">
        <f>0.245+77.034</f>
        <v>77.279000000000011</v>
      </c>
      <c r="R18" s="52">
        <f>3.858+82.587</f>
        <v>86.445000000000007</v>
      </c>
      <c r="S18" s="53">
        <f>6.432+63.916</f>
        <v>70.347999999999999</v>
      </c>
      <c r="T18" s="5">
        <v>255.68899999999999</v>
      </c>
      <c r="U18" s="3">
        <v>166.6</v>
      </c>
      <c r="V18" s="3">
        <v>133.446</v>
      </c>
      <c r="W18" s="99">
        <f>7.76+104.275</f>
        <v>112.03500000000001</v>
      </c>
    </row>
    <row r="19" spans="1:23" x14ac:dyDescent="0.3">
      <c r="A19" s="3" t="s">
        <v>25</v>
      </c>
      <c r="B19" s="5">
        <v>25.794</v>
      </c>
      <c r="C19" s="5"/>
      <c r="D19" s="5"/>
      <c r="E19" s="5"/>
      <c r="F19" s="5"/>
      <c r="G19" s="5"/>
      <c r="H19" s="5"/>
      <c r="I19" s="5"/>
      <c r="J19" s="5"/>
      <c r="K19" s="96"/>
      <c r="M19" s="51" t="s">
        <v>36</v>
      </c>
      <c r="N19" s="55">
        <v>0</v>
      </c>
      <c r="O19" s="55">
        <v>0</v>
      </c>
      <c r="P19" s="52">
        <v>520.88599999999997</v>
      </c>
      <c r="Q19" s="52">
        <v>707.42</v>
      </c>
      <c r="R19" s="52">
        <v>613.59900000000005</v>
      </c>
      <c r="S19" s="53">
        <v>1081.4780000000001</v>
      </c>
      <c r="T19" s="5">
        <v>1583.4690000000001</v>
      </c>
      <c r="U19" s="52">
        <v>1603.6</v>
      </c>
      <c r="V19" s="52">
        <v>1378.364</v>
      </c>
      <c r="W19" s="98">
        <v>2368.3429999999998</v>
      </c>
    </row>
    <row r="20" spans="1:23" x14ac:dyDescent="0.3">
      <c r="A20" s="73" t="s">
        <v>13</v>
      </c>
      <c r="B20" s="81">
        <f t="shared" ref="B20:I20" si="12">B13-B17-B18-B19</f>
        <v>690.76700000000028</v>
      </c>
      <c r="C20" s="81">
        <f t="shared" si="12"/>
        <v>780.53100000000029</v>
      </c>
      <c r="D20" s="81">
        <f t="shared" si="12"/>
        <v>852.61599999999964</v>
      </c>
      <c r="E20" s="81">
        <f t="shared" si="12"/>
        <v>987.97699999999998</v>
      </c>
      <c r="F20" s="81">
        <f t="shared" si="12"/>
        <v>1464.9079999999997</v>
      </c>
      <c r="G20" s="81">
        <f t="shared" si="12"/>
        <v>1769.0480000000005</v>
      </c>
      <c r="H20" s="81">
        <f t="shared" si="12"/>
        <v>1900.5939999999998</v>
      </c>
      <c r="I20" s="81">
        <f t="shared" si="12"/>
        <v>2325.3679999999999</v>
      </c>
      <c r="J20" s="81">
        <f>J13-J17-J18-J19</f>
        <v>3015.3869999999993</v>
      </c>
      <c r="K20" s="81">
        <f>K13-K17-K18-K19</f>
        <v>1647.413</v>
      </c>
      <c r="M20" s="51" t="s">
        <v>37</v>
      </c>
      <c r="N20" s="52">
        <v>1880.134</v>
      </c>
      <c r="O20" s="52">
        <v>2292.2710000000002</v>
      </c>
      <c r="P20" s="52">
        <v>142.37299999999999</v>
      </c>
      <c r="Q20" s="52">
        <v>151.67699999999999</v>
      </c>
      <c r="R20" s="52">
        <v>173.947</v>
      </c>
      <c r="S20" s="53">
        <v>145.22399999999999</v>
      </c>
      <c r="T20" s="5">
        <v>236.62</v>
      </c>
      <c r="U20" s="52">
        <v>246.2</v>
      </c>
      <c r="V20" s="52">
        <v>299.06299999999999</v>
      </c>
      <c r="W20" s="98">
        <v>477.38900000000001</v>
      </c>
    </row>
    <row r="21" spans="1:23" x14ac:dyDescent="0.3">
      <c r="A21" s="6" t="s">
        <v>14</v>
      </c>
      <c r="B21" s="7">
        <f>-0.078+255.181</f>
        <v>255.10300000000001</v>
      </c>
      <c r="C21" s="7">
        <v>269.72699999999998</v>
      </c>
      <c r="D21" s="7">
        <v>295.714</v>
      </c>
      <c r="E21" s="7">
        <v>351.19799999999998</v>
      </c>
      <c r="F21" s="7">
        <v>370.15099999999995</v>
      </c>
      <c r="G21" s="7">
        <f>330.433+164.714</f>
        <v>495.14699999999999</v>
      </c>
      <c r="H21" s="7">
        <v>792.51400000000001</v>
      </c>
      <c r="I21" s="7">
        <v>746.2</v>
      </c>
      <c r="J21" s="7">
        <v>959</v>
      </c>
      <c r="K21" s="97">
        <v>584.22900000000004</v>
      </c>
      <c r="M21" s="51" t="s">
        <v>38</v>
      </c>
      <c r="N21" s="52">
        <v>403.399</v>
      </c>
      <c r="O21" s="55">
        <v>505.42700000000002</v>
      </c>
      <c r="P21" s="52">
        <v>1.641</v>
      </c>
      <c r="Q21" s="52">
        <v>0.95499999999999996</v>
      </c>
      <c r="R21" s="52">
        <v>1.454</v>
      </c>
      <c r="S21" s="53">
        <v>1.4630000000000001</v>
      </c>
      <c r="T21" s="5">
        <v>1.498</v>
      </c>
      <c r="U21" s="52">
        <v>1.2</v>
      </c>
      <c r="V21" s="52">
        <v>1.4810000000000001</v>
      </c>
      <c r="W21" s="98">
        <v>1.5009999999999999</v>
      </c>
    </row>
    <row r="22" spans="1:23" x14ac:dyDescent="0.3">
      <c r="A22" s="8" t="s">
        <v>15</v>
      </c>
      <c r="B22" s="80">
        <f t="shared" ref="B22:H22" si="13">B20-B21</f>
        <v>435.66400000000027</v>
      </c>
      <c r="C22" s="80">
        <f t="shared" si="13"/>
        <v>510.80400000000031</v>
      </c>
      <c r="D22" s="80">
        <f t="shared" si="13"/>
        <v>556.90199999999959</v>
      </c>
      <c r="E22" s="80">
        <f t="shared" si="13"/>
        <v>636.779</v>
      </c>
      <c r="F22" s="80">
        <f t="shared" si="13"/>
        <v>1094.7569999999996</v>
      </c>
      <c r="G22" s="80">
        <f t="shared" si="13"/>
        <v>1273.9010000000005</v>
      </c>
      <c r="H22" s="80">
        <f t="shared" si="13"/>
        <v>1108.08</v>
      </c>
      <c r="I22" s="80">
        <f>I20-I21</f>
        <v>1579.1679999999999</v>
      </c>
      <c r="J22" s="80">
        <f>J20-J21</f>
        <v>2056.3869999999993</v>
      </c>
      <c r="K22" s="80">
        <f>K20-K21</f>
        <v>1063.184</v>
      </c>
      <c r="M22" s="51" t="s">
        <v>39</v>
      </c>
      <c r="N22" s="54">
        <v>0</v>
      </c>
      <c r="O22" s="54">
        <v>0</v>
      </c>
      <c r="P22" s="52">
        <v>1.4590000000000001</v>
      </c>
      <c r="Q22" s="52">
        <v>1.4590000000000001</v>
      </c>
      <c r="R22" s="52">
        <v>0.77900000000000003</v>
      </c>
      <c r="S22" s="56">
        <v>0</v>
      </c>
      <c r="T22" s="5">
        <v>53.71</v>
      </c>
      <c r="U22" s="52">
        <v>2.1</v>
      </c>
      <c r="V22" s="52">
        <v>133.55799999999999</v>
      </c>
      <c r="W22" s="98">
        <v>131.43700000000001</v>
      </c>
    </row>
    <row r="23" spans="1:23" x14ac:dyDescent="0.3">
      <c r="A23" s="72" t="s">
        <v>3</v>
      </c>
      <c r="B23" s="29"/>
      <c r="C23" s="30">
        <f t="shared" ref="C23:H23" si="14">C22/B22-1</f>
        <v>0.17247236402365118</v>
      </c>
      <c r="D23" s="30">
        <f t="shared" si="14"/>
        <v>9.0245965184296173E-2</v>
      </c>
      <c r="E23" s="30">
        <f t="shared" si="14"/>
        <v>0.1434309806752363</v>
      </c>
      <c r="F23" s="30">
        <f t="shared" si="14"/>
        <v>0.71921027546448557</v>
      </c>
      <c r="G23" s="30">
        <f t="shared" si="14"/>
        <v>0.16363814070154481</v>
      </c>
      <c r="H23" s="30">
        <f t="shared" si="14"/>
        <v>-0.13016788588752226</v>
      </c>
      <c r="I23" s="30">
        <f>I22/H22-1</f>
        <v>0.42513897913508059</v>
      </c>
      <c r="J23" s="30">
        <f>J22/I22-1</f>
        <v>0.3021964730794946</v>
      </c>
      <c r="K23" s="30"/>
      <c r="M23" s="51"/>
      <c r="N23" s="52"/>
      <c r="O23" s="52"/>
      <c r="P23" s="52"/>
      <c r="Q23" s="52"/>
      <c r="R23" s="52"/>
      <c r="S23" s="53"/>
      <c r="T23" s="6"/>
      <c r="U23" s="3"/>
      <c r="V23" s="3"/>
      <c r="W23" s="3"/>
    </row>
    <row r="24" spans="1:23" x14ac:dyDescent="0.3">
      <c r="A24" s="10" t="s">
        <v>4</v>
      </c>
      <c r="B24" s="20"/>
      <c r="C24" s="11"/>
      <c r="D24" s="11"/>
      <c r="E24" s="11">
        <f t="shared" ref="E24:J24" si="15">(E22/B22)^(1/3)-1</f>
        <v>0.13486887714658446</v>
      </c>
      <c r="F24" s="11">
        <f t="shared" si="15"/>
        <v>0.28930147776630721</v>
      </c>
      <c r="G24" s="11">
        <f t="shared" si="15"/>
        <v>0.31760621186809224</v>
      </c>
      <c r="H24" s="11">
        <f t="shared" si="15"/>
        <v>0.20280196211747681</v>
      </c>
      <c r="I24" s="11">
        <f t="shared" si="15"/>
        <v>0.12989182917095876</v>
      </c>
      <c r="J24" s="11">
        <f t="shared" si="15"/>
        <v>0.17306764663714724</v>
      </c>
      <c r="K24" s="11"/>
      <c r="M24" s="35" t="s">
        <v>40</v>
      </c>
      <c r="N24" s="50">
        <f t="shared" ref="N24:S24" si="16">N7+N15</f>
        <v>9154.9560000000001</v>
      </c>
      <c r="O24" s="50">
        <f t="shared" si="16"/>
        <v>8791.0620000000017</v>
      </c>
      <c r="P24" s="50">
        <f t="shared" si="16"/>
        <v>8227.0470000000005</v>
      </c>
      <c r="Q24" s="50">
        <f t="shared" si="16"/>
        <v>11047.803</v>
      </c>
      <c r="R24" s="50">
        <f t="shared" si="16"/>
        <v>13341.630999999998</v>
      </c>
      <c r="S24" s="50">
        <f t="shared" si="16"/>
        <v>13317.088</v>
      </c>
      <c r="T24" s="50">
        <f>T7+T15</f>
        <v>17207.012999999999</v>
      </c>
      <c r="U24" s="50">
        <f>U7+U15</f>
        <v>16994.2</v>
      </c>
      <c r="V24" s="50">
        <f>V7+V15</f>
        <v>17531.683000000001</v>
      </c>
      <c r="W24" s="50">
        <f>W7+W15</f>
        <v>18886.556</v>
      </c>
    </row>
    <row r="25" spans="1:23" x14ac:dyDescent="0.3">
      <c r="A25" s="13" t="s">
        <v>16</v>
      </c>
      <c r="B25" s="16">
        <f t="shared" ref="B25:I25" si="17">B22/B6</f>
        <v>0.1503042212859681</v>
      </c>
      <c r="C25" s="16">
        <f t="shared" si="17"/>
        <v>0.1745978521350984</v>
      </c>
      <c r="D25" s="16">
        <f t="shared" si="17"/>
        <v>0.18970190440407267</v>
      </c>
      <c r="E25" s="15">
        <f t="shared" si="17"/>
        <v>0.21228103629098663</v>
      </c>
      <c r="F25" s="16">
        <f t="shared" si="17"/>
        <v>0.35201993357404615</v>
      </c>
      <c r="G25" s="16">
        <f t="shared" si="17"/>
        <v>0.39888859872759064</v>
      </c>
      <c r="H25" s="16">
        <f t="shared" si="17"/>
        <v>0.28653133606794129</v>
      </c>
      <c r="I25" s="16">
        <f t="shared" si="17"/>
        <v>0.27434743874659318</v>
      </c>
      <c r="J25" s="16">
        <f>J22/J6</f>
        <v>0.3385556470200855</v>
      </c>
      <c r="K25" s="16">
        <f>K22/K6</f>
        <v>0.33180722184667599</v>
      </c>
      <c r="M25" s="57" t="s">
        <v>41</v>
      </c>
      <c r="N25" s="58">
        <f t="shared" ref="N25:S25" si="18">N3+N24</f>
        <v>23710.883999999998</v>
      </c>
      <c r="O25" s="58">
        <f t="shared" si="18"/>
        <v>23839.717000000004</v>
      </c>
      <c r="P25" s="58">
        <f t="shared" si="18"/>
        <v>12431.166000000001</v>
      </c>
      <c r="Q25" s="58">
        <f t="shared" si="18"/>
        <v>14572.421999999999</v>
      </c>
      <c r="R25" s="58">
        <f t="shared" si="18"/>
        <v>17879.541999999998</v>
      </c>
      <c r="S25" s="58">
        <f t="shared" si="18"/>
        <v>19061.428</v>
      </c>
      <c r="T25" s="58">
        <f>T3+T24</f>
        <v>21986.764999999999</v>
      </c>
      <c r="U25" s="58">
        <f>U3+U24</f>
        <v>21012.18</v>
      </c>
      <c r="V25" s="58">
        <f>V3+V24</f>
        <v>21262.187000000002</v>
      </c>
      <c r="W25" s="58">
        <f>W3+W24</f>
        <v>22688.946</v>
      </c>
    </row>
    <row r="26" spans="1:23" x14ac:dyDescent="0.3">
      <c r="A26" s="3"/>
      <c r="B26" s="27"/>
      <c r="C26" s="27"/>
      <c r="D26" s="27"/>
      <c r="E26" s="27"/>
      <c r="F26" s="27"/>
      <c r="G26" s="27"/>
      <c r="H26" s="27"/>
      <c r="I26" s="27"/>
      <c r="J26" s="27"/>
      <c r="K26" s="27"/>
      <c r="M26" s="51"/>
      <c r="N26" s="52"/>
      <c r="O26" s="52"/>
      <c r="P26" s="52"/>
      <c r="Q26" s="52"/>
      <c r="R26" s="52"/>
      <c r="S26" s="53"/>
      <c r="T26" s="6"/>
      <c r="U26" s="3"/>
      <c r="V26" s="3"/>
      <c r="W26" s="3"/>
    </row>
    <row r="27" spans="1:23" x14ac:dyDescent="0.3">
      <c r="A27" s="13" t="s">
        <v>17</v>
      </c>
      <c r="B27" s="14">
        <v>4.83</v>
      </c>
      <c r="C27" s="14">
        <v>5.67</v>
      </c>
      <c r="D27" s="14">
        <v>6.18</v>
      </c>
      <c r="E27" s="14">
        <v>7.07</v>
      </c>
      <c r="F27" s="14">
        <v>12.15</v>
      </c>
      <c r="G27" s="14">
        <v>14.14</v>
      </c>
      <c r="H27" s="14">
        <v>12.3</v>
      </c>
      <c r="I27" s="14">
        <v>17.52</v>
      </c>
      <c r="J27" s="14">
        <v>22.81</v>
      </c>
      <c r="K27" s="14">
        <v>11.8</v>
      </c>
      <c r="M27" s="35" t="s">
        <v>44</v>
      </c>
      <c r="N27" s="50">
        <f t="shared" ref="N27:U27" si="19">SUM(N28:N36)</f>
        <v>23208.706999999999</v>
      </c>
      <c r="O27" s="50">
        <f t="shared" si="19"/>
        <v>23079.375000000004</v>
      </c>
      <c r="P27" s="50">
        <f t="shared" si="19"/>
        <v>11859.2</v>
      </c>
      <c r="Q27" s="50">
        <f t="shared" si="19"/>
        <v>14342.021000000001</v>
      </c>
      <c r="R27" s="50">
        <f t="shared" si="19"/>
        <v>17533.618000000002</v>
      </c>
      <c r="S27" s="50">
        <f t="shared" si="19"/>
        <v>18844.903000000006</v>
      </c>
      <c r="T27" s="50">
        <f t="shared" si="19"/>
        <v>20831.326000000001</v>
      </c>
      <c r="U27" s="50">
        <f t="shared" si="19"/>
        <v>20614.498000000003</v>
      </c>
      <c r="V27" s="50">
        <f>SUM(V28:V36)</f>
        <v>20479.761999999999</v>
      </c>
      <c r="W27" s="50">
        <f>SUM(W28:W36)</f>
        <v>20069.833999999995</v>
      </c>
    </row>
    <row r="28" spans="1:23" x14ac:dyDescent="0.3">
      <c r="A28" s="10" t="s">
        <v>3</v>
      </c>
      <c r="B28" s="20"/>
      <c r="C28" s="11">
        <f t="shared" ref="C28:H28" si="20">C27/B27-1</f>
        <v>0.17391304347826075</v>
      </c>
      <c r="D28" s="11">
        <f t="shared" si="20"/>
        <v>8.9947089947089998E-2</v>
      </c>
      <c r="E28" s="11">
        <f t="shared" si="20"/>
        <v>0.14401294498381878</v>
      </c>
      <c r="F28" s="11">
        <f t="shared" si="20"/>
        <v>0.71852899575671847</v>
      </c>
      <c r="G28" s="11">
        <f t="shared" si="20"/>
        <v>0.16378600823045275</v>
      </c>
      <c r="H28" s="11">
        <f t="shared" si="20"/>
        <v>-0.13012729844413007</v>
      </c>
      <c r="I28" s="11">
        <f>I27/H27-1</f>
        <v>0.42439024390243896</v>
      </c>
      <c r="J28" s="11">
        <f>J27/I27-1</f>
        <v>0.3019406392694064</v>
      </c>
      <c r="K28" s="11"/>
      <c r="M28" s="51" t="s">
        <v>45</v>
      </c>
      <c r="N28" s="52">
        <f>12990+1544.229+444.454+11.827+1.868</f>
        <v>14992.377999999999</v>
      </c>
      <c r="O28" s="52">
        <f>12990+1391.092+349.964+9.64</f>
        <v>14740.696</v>
      </c>
      <c r="P28" s="52">
        <v>5.4969999999999999</v>
      </c>
      <c r="Q28" s="52">
        <v>5.0679999999999996</v>
      </c>
      <c r="R28" s="52">
        <v>4.734</v>
      </c>
      <c r="S28" s="53">
        <v>4.4640000000000004</v>
      </c>
      <c r="T28" s="5">
        <v>4.4640000000000004</v>
      </c>
      <c r="U28" s="52">
        <v>4.3940000000000001</v>
      </c>
      <c r="V28" s="52">
        <v>4.26</v>
      </c>
      <c r="W28" s="98">
        <v>4.1929999999999996</v>
      </c>
    </row>
    <row r="29" spans="1:23" x14ac:dyDescent="0.3">
      <c r="A29" s="17" t="s">
        <v>4</v>
      </c>
      <c r="B29" s="17"/>
      <c r="C29" s="18"/>
      <c r="D29" s="18"/>
      <c r="E29" s="18">
        <f t="shared" ref="E29:H29" si="21">(E27/B27)^(1/3)-1</f>
        <v>0.13542232104063645</v>
      </c>
      <c r="F29" s="18">
        <f t="shared" si="21"/>
        <v>0.28923198938929806</v>
      </c>
      <c r="G29" s="18">
        <f t="shared" si="21"/>
        <v>0.31771142507585215</v>
      </c>
      <c r="H29" s="18">
        <f t="shared" si="21"/>
        <v>0.2027127063787757</v>
      </c>
      <c r="I29" s="18">
        <f>(I27/F27)^(1/3)-1</f>
        <v>0.12975934224035823</v>
      </c>
      <c r="J29" s="18">
        <f>(J27/G27)^(1/3)-1</f>
        <v>0.17280360416736684</v>
      </c>
      <c r="K29" s="18"/>
      <c r="M29" s="51" t="s">
        <v>46</v>
      </c>
      <c r="N29" s="52">
        <v>262.01100000000002</v>
      </c>
      <c r="O29" s="52">
        <v>692.95600000000002</v>
      </c>
      <c r="P29" s="52">
        <v>1647.1590000000001</v>
      </c>
      <c r="Q29" s="52">
        <v>5593.3109999999997</v>
      </c>
      <c r="R29" s="52">
        <v>9482.1360000000004</v>
      </c>
      <c r="S29" s="53">
        <v>11402.245000000001</v>
      </c>
      <c r="T29" s="5">
        <v>131.57</v>
      </c>
      <c r="U29" s="52">
        <v>60.5</v>
      </c>
      <c r="V29" s="52">
        <v>26.167000000000002</v>
      </c>
      <c r="W29" s="98">
        <v>18.209</v>
      </c>
    </row>
    <row r="30" spans="1:23" x14ac:dyDescent="0.3">
      <c r="E30" s="28"/>
      <c r="F30" s="28"/>
      <c r="G30" s="28"/>
      <c r="H30" s="28"/>
      <c r="I30" s="28"/>
      <c r="J30" s="28"/>
      <c r="K30" s="28"/>
      <c r="M30" s="51" t="s">
        <v>47</v>
      </c>
      <c r="N30" s="52">
        <v>7513.0439999999999</v>
      </c>
      <c r="O30" s="52">
        <v>7170.1580000000004</v>
      </c>
      <c r="P30" s="52">
        <v>9581.4089999999997</v>
      </c>
      <c r="Q30" s="52">
        <v>7909.317</v>
      </c>
      <c r="R30" s="52">
        <v>7406.9750000000004</v>
      </c>
      <c r="S30" s="53">
        <v>7050.0529999999999</v>
      </c>
      <c r="T30" s="5">
        <v>19851.006000000001</v>
      </c>
      <c r="U30" s="52">
        <v>19317.7</v>
      </c>
      <c r="V30" s="52">
        <v>19095.353999999999</v>
      </c>
      <c r="W30" s="98">
        <v>18802.832999999999</v>
      </c>
    </row>
    <row r="31" spans="1:23" x14ac:dyDescent="0.3">
      <c r="A31" s="92" t="s">
        <v>67</v>
      </c>
      <c r="B31" s="92"/>
      <c r="C31" s="92"/>
      <c r="D31" s="92"/>
      <c r="E31" s="92"/>
      <c r="F31" s="92"/>
      <c r="G31" s="92"/>
      <c r="H31" s="47"/>
      <c r="I31" s="47"/>
      <c r="J31" s="47"/>
      <c r="K31" s="47"/>
      <c r="M31" s="51" t="s">
        <v>48</v>
      </c>
      <c r="N31" s="52">
        <v>0.20499999999999999</v>
      </c>
      <c r="O31" s="52">
        <v>9.0999999999999998E-2</v>
      </c>
      <c r="P31" s="59">
        <v>3.1E-2</v>
      </c>
      <c r="Q31" s="52">
        <v>0.183</v>
      </c>
      <c r="R31" s="77">
        <v>0</v>
      </c>
      <c r="S31" s="77">
        <v>0</v>
      </c>
      <c r="T31" s="77">
        <v>0</v>
      </c>
      <c r="U31" s="59">
        <v>0</v>
      </c>
      <c r="V31" s="59">
        <v>0</v>
      </c>
      <c r="W31" s="100">
        <v>0</v>
      </c>
    </row>
    <row r="32" spans="1:23" x14ac:dyDescent="0.3">
      <c r="A32" s="2" t="s">
        <v>24</v>
      </c>
      <c r="B32" s="4" t="s">
        <v>18</v>
      </c>
      <c r="C32" s="4" t="s">
        <v>19</v>
      </c>
      <c r="D32" s="4" t="s">
        <v>20</v>
      </c>
      <c r="E32" s="4" t="s">
        <v>21</v>
      </c>
      <c r="F32" s="4" t="s">
        <v>22</v>
      </c>
      <c r="G32" s="1" t="s">
        <v>23</v>
      </c>
      <c r="H32" s="4" t="s">
        <v>75</v>
      </c>
      <c r="I32" s="4" t="s">
        <v>102</v>
      </c>
      <c r="J32" s="4" t="s">
        <v>105</v>
      </c>
      <c r="K32" s="4" t="s">
        <v>107</v>
      </c>
      <c r="M32" s="51" t="s">
        <v>49</v>
      </c>
      <c r="N32" s="52"/>
      <c r="O32" s="52"/>
      <c r="P32" s="52"/>
      <c r="Q32" s="52"/>
      <c r="R32" s="52"/>
      <c r="S32" s="53"/>
      <c r="T32" s="5"/>
      <c r="U32" s="3"/>
      <c r="V32" s="3"/>
      <c r="W32" s="99"/>
    </row>
    <row r="33" spans="1:24" ht="28.8" x14ac:dyDescent="0.3">
      <c r="A33" s="23" t="s">
        <v>68</v>
      </c>
      <c r="B33" s="5">
        <v>94.611000000000004</v>
      </c>
      <c r="C33" s="5">
        <v>30.457999999999998</v>
      </c>
      <c r="D33" s="5">
        <v>166.28899999999999</v>
      </c>
      <c r="E33" s="5">
        <v>371.16399999999999</v>
      </c>
      <c r="F33" s="5">
        <v>39.335999999999999</v>
      </c>
      <c r="G33" s="21">
        <v>115.97799999999999</v>
      </c>
      <c r="H33" s="74">
        <v>16.242999999999999</v>
      </c>
      <c r="I33" s="5">
        <v>962.50099999999998</v>
      </c>
      <c r="J33" s="5">
        <f>U41</f>
        <v>172.54900000000001</v>
      </c>
      <c r="K33" s="5">
        <f>V41</f>
        <v>539.31700000000001</v>
      </c>
      <c r="M33" s="51" t="s">
        <v>50</v>
      </c>
      <c r="N33" s="52">
        <v>394.28899999999999</v>
      </c>
      <c r="O33" s="52">
        <v>450.96699999999998</v>
      </c>
      <c r="P33" s="52">
        <v>21.908000000000001</v>
      </c>
      <c r="Q33" s="52">
        <v>21.908000000000001</v>
      </c>
      <c r="R33" s="52">
        <v>22.024999999999999</v>
      </c>
      <c r="S33" s="53">
        <v>22.024999999999999</v>
      </c>
      <c r="T33" s="77">
        <v>0</v>
      </c>
      <c r="U33" s="59">
        <v>0</v>
      </c>
      <c r="V33" s="59">
        <v>0</v>
      </c>
      <c r="W33" s="100">
        <v>0</v>
      </c>
    </row>
    <row r="34" spans="1:24" x14ac:dyDescent="0.3">
      <c r="A34" s="3" t="s">
        <v>69</v>
      </c>
      <c r="B34" s="5">
        <v>2052.971</v>
      </c>
      <c r="C34" s="5">
        <v>2172.4270000000001</v>
      </c>
      <c r="D34" s="5">
        <v>2122.9810000000002</v>
      </c>
      <c r="E34" s="5">
        <v>2239.8069999999998</v>
      </c>
      <c r="F34" s="5">
        <v>3109.1179999999999</v>
      </c>
      <c r="G34" s="22">
        <v>2094.2420000000002</v>
      </c>
      <c r="H34" s="5">
        <v>3402.2089999999998</v>
      </c>
      <c r="I34" s="5">
        <v>3923.1</v>
      </c>
      <c r="J34" s="5">
        <v>4247.6260000000002</v>
      </c>
      <c r="K34" s="5">
        <v>2370.52</v>
      </c>
      <c r="M34" s="51" t="s">
        <v>51</v>
      </c>
      <c r="N34" s="59">
        <v>0</v>
      </c>
      <c r="O34" s="54">
        <v>0</v>
      </c>
      <c r="P34" s="52">
        <v>5.1890000000000001</v>
      </c>
      <c r="Q34" s="52">
        <v>11.5</v>
      </c>
      <c r="R34" s="52">
        <v>11.5</v>
      </c>
      <c r="S34" s="53">
        <v>11.5</v>
      </c>
      <c r="T34" s="5">
        <v>28.524999999999999</v>
      </c>
      <c r="U34" s="52">
        <v>96.504000000000005</v>
      </c>
      <c r="V34" s="52">
        <v>95.802000000000007</v>
      </c>
      <c r="W34" s="98">
        <v>99.412000000000006</v>
      </c>
    </row>
    <row r="35" spans="1:24" x14ac:dyDescent="0.3">
      <c r="A35" s="3" t="s">
        <v>70</v>
      </c>
      <c r="B35" s="5">
        <v>-749.32399999999996</v>
      </c>
      <c r="C35" s="5">
        <v>-633.42899999999997</v>
      </c>
      <c r="D35" s="5">
        <v>-1181.241</v>
      </c>
      <c r="E35" s="5">
        <v>-4048.5909999999999</v>
      </c>
      <c r="F35" s="5">
        <v>-3253.1689999999999</v>
      </c>
      <c r="G35" s="22">
        <v>-1197.98</v>
      </c>
      <c r="H35" s="5">
        <v>-1593.7750000000001</v>
      </c>
      <c r="I35" s="5">
        <v>-904.5</v>
      </c>
      <c r="J35" s="5">
        <v>-506.78800000000001</v>
      </c>
      <c r="K35" s="5">
        <v>-1229.8610000000001</v>
      </c>
      <c r="M35" s="51" t="s">
        <v>52</v>
      </c>
      <c r="N35" s="59">
        <v>0</v>
      </c>
      <c r="O35" s="54">
        <v>0</v>
      </c>
      <c r="P35" s="52">
        <v>7.444</v>
      </c>
      <c r="Q35" s="52">
        <v>36.957999999999998</v>
      </c>
      <c r="R35" s="52">
        <v>43.877000000000002</v>
      </c>
      <c r="S35" s="53">
        <v>30.097000000000001</v>
      </c>
      <c r="T35" s="5">
        <v>32.337000000000003</v>
      </c>
      <c r="U35" s="52">
        <v>129.4</v>
      </c>
      <c r="V35" s="52">
        <v>284.28100000000001</v>
      </c>
      <c r="W35" s="98">
        <v>284.28100000000001</v>
      </c>
    </row>
    <row r="36" spans="1:24" x14ac:dyDescent="0.3">
      <c r="A36" s="3" t="s">
        <v>71</v>
      </c>
      <c r="B36" s="5">
        <v>-1363.123</v>
      </c>
      <c r="C36" s="5">
        <v>-1403.1669999999999</v>
      </c>
      <c r="D36" s="5">
        <v>-736.86500000000001</v>
      </c>
      <c r="E36" s="5">
        <v>1476.9559999999999</v>
      </c>
      <c r="F36" s="5">
        <v>220.69300000000001</v>
      </c>
      <c r="G36" s="22">
        <v>-995.99699999999996</v>
      </c>
      <c r="H36" s="5">
        <v>-862.17600000000004</v>
      </c>
      <c r="I36" s="5">
        <v>-3808.5</v>
      </c>
      <c r="J36" s="5">
        <v>-3374.07</v>
      </c>
      <c r="K36" s="5">
        <v>-1489.48</v>
      </c>
      <c r="M36" s="51" t="s">
        <v>53</v>
      </c>
      <c r="N36" s="52">
        <v>46.78</v>
      </c>
      <c r="O36" s="52">
        <v>24.507000000000001</v>
      </c>
      <c r="P36" s="52">
        <v>590.56299999999999</v>
      </c>
      <c r="Q36" s="52">
        <v>763.77599999999995</v>
      </c>
      <c r="R36" s="52">
        <v>562.37099999999998</v>
      </c>
      <c r="S36" s="53">
        <v>324.51900000000001</v>
      </c>
      <c r="T36" s="5">
        <v>783.42399999999998</v>
      </c>
      <c r="U36" s="52">
        <v>1006</v>
      </c>
      <c r="V36" s="52">
        <v>973.89800000000002</v>
      </c>
      <c r="W36" s="98">
        <v>860.90599999999995</v>
      </c>
    </row>
    <row r="37" spans="1:24" x14ac:dyDescent="0.3">
      <c r="A37" s="3" t="s">
        <v>72</v>
      </c>
      <c r="B37" s="5">
        <f t="shared" ref="B37:I37" si="22">B34+B35+B36</f>
        <v>-59.476000000000113</v>
      </c>
      <c r="C37" s="5">
        <f t="shared" si="22"/>
        <v>135.83100000000013</v>
      </c>
      <c r="D37" s="5">
        <f t="shared" si="22"/>
        <v>204.87500000000023</v>
      </c>
      <c r="E37" s="5">
        <f t="shared" si="22"/>
        <v>-331.8280000000002</v>
      </c>
      <c r="F37" s="5">
        <f t="shared" si="22"/>
        <v>76.642000000000081</v>
      </c>
      <c r="G37" s="22">
        <f t="shared" si="22"/>
        <v>-99.734999999999786</v>
      </c>
      <c r="H37" s="7">
        <f t="shared" si="22"/>
        <v>946.2579999999997</v>
      </c>
      <c r="I37" s="7">
        <f t="shared" si="22"/>
        <v>-789.90000000000009</v>
      </c>
      <c r="J37" s="7">
        <v>366.76799999999997</v>
      </c>
      <c r="K37" s="7">
        <v>-348.82100000000003</v>
      </c>
      <c r="M37" s="51"/>
      <c r="N37" s="52"/>
      <c r="O37" s="52"/>
      <c r="P37" s="52"/>
      <c r="Q37" s="52"/>
      <c r="R37" s="52"/>
      <c r="S37" s="53"/>
      <c r="T37" s="6"/>
      <c r="U37" s="3"/>
      <c r="V37" s="3"/>
      <c r="W37" s="3"/>
    </row>
    <row r="38" spans="1:24" x14ac:dyDescent="0.3">
      <c r="A38" s="8" t="s">
        <v>73</v>
      </c>
      <c r="B38" s="9">
        <f>B33+B37</f>
        <v>35.134999999999891</v>
      </c>
      <c r="C38" s="9">
        <f t="shared" ref="C38:H38" si="23">C33+C37</f>
        <v>166.28900000000013</v>
      </c>
      <c r="D38" s="9">
        <f t="shared" si="23"/>
        <v>371.16400000000021</v>
      </c>
      <c r="E38" s="9">
        <f t="shared" si="23"/>
        <v>39.335999999999785</v>
      </c>
      <c r="F38" s="9">
        <f t="shared" si="23"/>
        <v>115.97800000000008</v>
      </c>
      <c r="G38" s="24">
        <f t="shared" si="23"/>
        <v>16.243000000000208</v>
      </c>
      <c r="H38" s="24">
        <f t="shared" si="23"/>
        <v>962.50099999999975</v>
      </c>
      <c r="I38" s="24">
        <f>I33+I37</f>
        <v>172.60099999999989</v>
      </c>
      <c r="J38" s="24">
        <f>J33+J37</f>
        <v>539.31700000000001</v>
      </c>
      <c r="K38" s="24">
        <f>K33+K37</f>
        <v>190.49599999999998</v>
      </c>
      <c r="M38" s="35" t="s">
        <v>54</v>
      </c>
      <c r="N38" s="50">
        <f>SUM(N39:N45)</f>
        <v>502.17700000000002</v>
      </c>
      <c r="O38" s="50">
        <f>SUM(O39:O45)</f>
        <v>760.34199999999998</v>
      </c>
      <c r="P38" s="50">
        <f>SUM(P39:P45)</f>
        <v>571.96600000000001</v>
      </c>
      <c r="Q38" s="50">
        <f>SUM(Q39:Q45)</f>
        <v>230.40100000000001</v>
      </c>
      <c r="R38" s="50">
        <f t="shared" ref="R38:W38" si="24">SUM(R40:R45)</f>
        <v>345.92399999999998</v>
      </c>
      <c r="S38" s="50">
        <f t="shared" si="24"/>
        <v>216.52499999999998</v>
      </c>
      <c r="T38" s="50">
        <f t="shared" si="24"/>
        <v>1155.4399999999998</v>
      </c>
      <c r="U38" s="50">
        <f t="shared" si="24"/>
        <v>397.649</v>
      </c>
      <c r="V38" s="50">
        <f t="shared" si="24"/>
        <v>782.42500000000007</v>
      </c>
      <c r="W38" s="50">
        <f t="shared" si="24"/>
        <v>2619.1120000000001</v>
      </c>
    </row>
    <row r="39" spans="1:24" x14ac:dyDescent="0.3">
      <c r="B39" s="22"/>
      <c r="C39" s="22"/>
      <c r="D39" s="22"/>
      <c r="E39" s="22"/>
      <c r="F39" s="22"/>
      <c r="G39" s="22"/>
      <c r="H39" s="22"/>
      <c r="I39" s="22"/>
      <c r="J39" s="22"/>
      <c r="K39" s="22"/>
      <c r="M39" s="51" t="s">
        <v>55</v>
      </c>
      <c r="N39" s="52"/>
      <c r="O39" s="52"/>
      <c r="P39" s="52"/>
      <c r="Q39" s="52"/>
      <c r="R39" s="52"/>
      <c r="S39" s="53"/>
      <c r="T39" s="3"/>
      <c r="U39" s="3"/>
      <c r="V39" s="3"/>
      <c r="W39" s="3"/>
    </row>
    <row r="40" spans="1:24" x14ac:dyDescent="0.3">
      <c r="A40" s="31" t="s">
        <v>78</v>
      </c>
      <c r="B40" s="37">
        <f t="shared" ref="B40:K40" si="25">B34</f>
        <v>2052.971</v>
      </c>
      <c r="C40" s="37">
        <f t="shared" si="25"/>
        <v>2172.4270000000001</v>
      </c>
      <c r="D40" s="37">
        <f t="shared" si="25"/>
        <v>2122.9810000000002</v>
      </c>
      <c r="E40" s="37">
        <f t="shared" si="25"/>
        <v>2239.8069999999998</v>
      </c>
      <c r="F40" s="37">
        <f t="shared" si="25"/>
        <v>3109.1179999999999</v>
      </c>
      <c r="G40" s="37">
        <f t="shared" si="25"/>
        <v>2094.2420000000002</v>
      </c>
      <c r="H40" s="37">
        <f t="shared" si="25"/>
        <v>3402.2089999999998</v>
      </c>
      <c r="I40" s="37">
        <f t="shared" si="25"/>
        <v>3923.1</v>
      </c>
      <c r="J40" s="37">
        <f t="shared" si="25"/>
        <v>4247.6260000000002</v>
      </c>
      <c r="K40" s="37">
        <f t="shared" si="25"/>
        <v>2370.52</v>
      </c>
      <c r="M40" s="51" t="s">
        <v>56</v>
      </c>
      <c r="N40" s="52">
        <v>40.997999999999998</v>
      </c>
      <c r="O40" s="52">
        <v>38.420999999999999</v>
      </c>
      <c r="P40" s="52">
        <v>25.66</v>
      </c>
      <c r="Q40" s="52">
        <v>23.727</v>
      </c>
      <c r="R40" s="52">
        <v>39.232999999999997</v>
      </c>
      <c r="S40" s="53">
        <v>18.818999999999999</v>
      </c>
      <c r="T40" s="5">
        <v>31.456</v>
      </c>
      <c r="U40" s="52">
        <v>28.5</v>
      </c>
      <c r="V40" s="52">
        <v>31.98</v>
      </c>
      <c r="W40" s="98">
        <v>51.902000000000001</v>
      </c>
      <c r="X40" s="22"/>
    </row>
    <row r="41" spans="1:24" x14ac:dyDescent="0.3">
      <c r="A41" s="33" t="s">
        <v>79</v>
      </c>
      <c r="B41" s="36">
        <v>756.20799999999997</v>
      </c>
      <c r="C41" s="36">
        <f t="shared" ref="C41:J41" si="26">(O28-N28)+(O29-N29)+C17</f>
        <v>885.81600000000117</v>
      </c>
      <c r="D41" s="36">
        <f t="shared" si="26"/>
        <v>-13058.846000000001</v>
      </c>
      <c r="E41" s="36">
        <f t="shared" si="26"/>
        <v>4534.5639999999994</v>
      </c>
      <c r="F41" s="36">
        <f t="shared" si="26"/>
        <v>4420.9910000000009</v>
      </c>
      <c r="G41" s="36">
        <f t="shared" si="26"/>
        <v>2406.8800000000006</v>
      </c>
      <c r="H41" s="36">
        <f t="shared" si="26"/>
        <v>-10515.798000000001</v>
      </c>
      <c r="I41" s="36">
        <f t="shared" si="26"/>
        <v>956.61800000000005</v>
      </c>
      <c r="J41" s="36">
        <f t="shared" si="26"/>
        <v>529.63300000000004</v>
      </c>
      <c r="K41" s="36">
        <v>109.872</v>
      </c>
      <c r="M41" s="51" t="s">
        <v>74</v>
      </c>
      <c r="N41" s="52">
        <v>35.134999999999998</v>
      </c>
      <c r="O41" s="52">
        <v>172.97200000000001</v>
      </c>
      <c r="P41" s="52">
        <v>371.16399999999999</v>
      </c>
      <c r="Q41" s="52">
        <v>41.555</v>
      </c>
      <c r="R41" s="52">
        <v>115.97799999999999</v>
      </c>
      <c r="S41" s="53">
        <v>16.242999999999999</v>
      </c>
      <c r="T41" s="5">
        <v>962.50099999999998</v>
      </c>
      <c r="U41" s="89">
        <v>172.54900000000001</v>
      </c>
      <c r="V41" s="89">
        <v>539.31700000000001</v>
      </c>
      <c r="W41" s="101">
        <v>190.49600000000001</v>
      </c>
    </row>
    <row r="42" spans="1:24" x14ac:dyDescent="0.3">
      <c r="A42" s="35" t="s">
        <v>80</v>
      </c>
      <c r="B42" s="34">
        <f t="shared" ref="B42:G42" si="27">B40-B41</f>
        <v>1296.7629999999999</v>
      </c>
      <c r="C42" s="34">
        <f t="shared" si="27"/>
        <v>1286.610999999999</v>
      </c>
      <c r="D42" s="34">
        <f t="shared" si="27"/>
        <v>15181.827000000001</v>
      </c>
      <c r="E42" s="34">
        <f t="shared" si="27"/>
        <v>-2294.7569999999996</v>
      </c>
      <c r="F42" s="34">
        <f t="shared" si="27"/>
        <v>-1311.873000000001</v>
      </c>
      <c r="G42" s="34">
        <f t="shared" si="27"/>
        <v>-312.63800000000037</v>
      </c>
      <c r="H42" s="34">
        <f>H40-H41</f>
        <v>13918.007000000001</v>
      </c>
      <c r="I42" s="34">
        <f>I40-I41</f>
        <v>2966.482</v>
      </c>
      <c r="J42" s="34">
        <f>J40-J41</f>
        <v>3717.9930000000004</v>
      </c>
      <c r="K42" s="34">
        <f>K40-K41</f>
        <v>2260.6480000000001</v>
      </c>
      <c r="M42" s="51" t="s">
        <v>57</v>
      </c>
      <c r="N42" s="54">
        <v>0</v>
      </c>
      <c r="O42" s="54">
        <v>0</v>
      </c>
      <c r="P42" s="52">
        <v>6.7910000000000004</v>
      </c>
      <c r="Q42" s="52">
        <v>8.8729999999999993</v>
      </c>
      <c r="R42" s="52">
        <v>10.523</v>
      </c>
      <c r="S42" s="53">
        <v>12.154999999999999</v>
      </c>
      <c r="T42" s="5">
        <v>39.362000000000002</v>
      </c>
      <c r="U42" s="52">
        <v>57.4</v>
      </c>
      <c r="V42" s="52">
        <v>70.204999999999998</v>
      </c>
      <c r="W42" s="98">
        <v>2094.6190000000001</v>
      </c>
    </row>
    <row r="43" spans="1:24" x14ac:dyDescent="0.3">
      <c r="B43" s="25"/>
      <c r="C43" s="22"/>
      <c r="D43" s="22"/>
      <c r="E43" s="22"/>
      <c r="F43" s="22"/>
      <c r="G43" s="22"/>
      <c r="H43" s="22"/>
      <c r="I43" s="22"/>
      <c r="J43" s="22"/>
      <c r="K43" s="22"/>
      <c r="M43" s="51" t="s">
        <v>59</v>
      </c>
      <c r="N43" s="52">
        <v>385.10700000000003</v>
      </c>
      <c r="O43" s="55">
        <v>505.65499999999997</v>
      </c>
      <c r="P43" s="54">
        <v>0</v>
      </c>
      <c r="Q43" s="54">
        <v>0</v>
      </c>
      <c r="R43" s="54">
        <v>0</v>
      </c>
      <c r="S43" s="56">
        <v>0</v>
      </c>
      <c r="T43" s="3">
        <v>0</v>
      </c>
      <c r="U43" s="59">
        <v>0</v>
      </c>
      <c r="V43" s="59">
        <v>0</v>
      </c>
      <c r="W43" s="100">
        <v>0</v>
      </c>
    </row>
    <row r="44" spans="1:24" x14ac:dyDescent="0.3">
      <c r="B44" s="25"/>
      <c r="D44" s="38"/>
      <c r="G44" s="38"/>
      <c r="H44" s="38"/>
      <c r="I44" s="38"/>
      <c r="J44" s="38"/>
      <c r="K44" s="38"/>
      <c r="M44" s="51" t="s">
        <v>100</v>
      </c>
      <c r="N44" s="54">
        <v>0</v>
      </c>
      <c r="O44" s="54">
        <v>0</v>
      </c>
      <c r="P44" s="52">
        <v>20.047000000000001</v>
      </c>
      <c r="Q44" s="52">
        <v>17.89</v>
      </c>
      <c r="R44" s="52">
        <v>18.603000000000002</v>
      </c>
      <c r="S44" s="53">
        <v>23.143999999999998</v>
      </c>
      <c r="T44" s="5">
        <v>26.167000000000002</v>
      </c>
      <c r="U44" s="52">
        <v>26.5</v>
      </c>
      <c r="V44" s="52">
        <v>28.736000000000001</v>
      </c>
      <c r="W44" s="98">
        <v>20.393999999999998</v>
      </c>
    </row>
    <row r="45" spans="1:24" x14ac:dyDescent="0.3">
      <c r="A45" s="39" t="s">
        <v>81</v>
      </c>
      <c r="B45" s="42">
        <v>90118040</v>
      </c>
      <c r="C45" s="40">
        <v>90118040</v>
      </c>
      <c r="D45" s="40">
        <v>90118040</v>
      </c>
      <c r="E45" s="40">
        <v>90118040</v>
      </c>
      <c r="F45" s="40">
        <v>90118040</v>
      </c>
      <c r="G45" s="40">
        <v>90118040</v>
      </c>
      <c r="H45" s="40">
        <v>90118040</v>
      </c>
      <c r="I45" s="40">
        <v>90118040</v>
      </c>
      <c r="J45" s="40">
        <v>90118040</v>
      </c>
      <c r="K45" s="40">
        <v>90118040</v>
      </c>
      <c r="M45" s="51" t="s">
        <v>101</v>
      </c>
      <c r="N45" s="52">
        <v>40.936999999999998</v>
      </c>
      <c r="O45" s="52">
        <v>43.293999999999997</v>
      </c>
      <c r="P45" s="52">
        <v>148.304</v>
      </c>
      <c r="Q45" s="52">
        <v>138.35599999999999</v>
      </c>
      <c r="R45" s="52">
        <v>161.58699999999999</v>
      </c>
      <c r="S45" s="53">
        <v>146.16399999999999</v>
      </c>
      <c r="T45" s="5">
        <v>95.953999999999994</v>
      </c>
      <c r="U45" s="52">
        <v>112.7</v>
      </c>
      <c r="V45" s="52">
        <v>112.187</v>
      </c>
      <c r="W45" s="98">
        <v>261.70100000000002</v>
      </c>
    </row>
    <row r="46" spans="1:24" x14ac:dyDescent="0.3">
      <c r="A46" s="39" t="s">
        <v>82</v>
      </c>
      <c r="B46" s="41">
        <f t="shared" ref="B46:K46" si="28">(B45*N55)/1000000</f>
        <v>16662.825595999999</v>
      </c>
      <c r="C46" s="41">
        <f t="shared" si="28"/>
        <v>18379.574258000001</v>
      </c>
      <c r="D46" s="41">
        <f t="shared" si="28"/>
        <v>17901.948646000001</v>
      </c>
      <c r="E46" s="41">
        <f t="shared" si="28"/>
        <v>18402.103768000001</v>
      </c>
      <c r="F46" s="41">
        <f t="shared" si="28"/>
        <v>21587.776482000001</v>
      </c>
      <c r="G46" s="41">
        <f t="shared" si="28"/>
        <v>24620.248528</v>
      </c>
      <c r="H46" s="41">
        <f t="shared" si="28"/>
        <v>36975.431812000003</v>
      </c>
      <c r="I46" s="41">
        <f t="shared" si="28"/>
        <v>33857.347628000003</v>
      </c>
      <c r="J46" s="41">
        <f t="shared" si="28"/>
        <v>38435.344060000003</v>
      </c>
      <c r="K46" s="41">
        <f t="shared" si="28"/>
        <v>37601.752189999999</v>
      </c>
      <c r="M46" s="51"/>
      <c r="N46" s="52"/>
      <c r="O46" s="52"/>
      <c r="P46" s="52"/>
      <c r="Q46" s="52"/>
      <c r="R46" s="52"/>
      <c r="S46" s="53"/>
      <c r="T46" s="6"/>
      <c r="U46" s="3"/>
      <c r="V46" s="3"/>
      <c r="W46" s="3"/>
    </row>
    <row r="47" spans="1:24" x14ac:dyDescent="0.3">
      <c r="A47" s="39" t="s">
        <v>83</v>
      </c>
      <c r="B47" s="41">
        <f t="shared" ref="B47:I47" si="29">N9+N17</f>
        <v>5957.8710000000001</v>
      </c>
      <c r="C47" s="41">
        <f t="shared" si="29"/>
        <v>5288.7790000000005</v>
      </c>
      <c r="D47" s="41">
        <f t="shared" si="29"/>
        <v>6108.6570000000002</v>
      </c>
      <c r="E47" s="41">
        <f t="shared" si="29"/>
        <v>8533.9069999999992</v>
      </c>
      <c r="F47" s="41">
        <f t="shared" si="29"/>
        <v>9889.884</v>
      </c>
      <c r="G47" s="41">
        <f t="shared" si="29"/>
        <v>9783.9069999999992</v>
      </c>
      <c r="H47" s="41">
        <f t="shared" si="29"/>
        <v>11783.905999999999</v>
      </c>
      <c r="I47" s="41">
        <f t="shared" si="29"/>
        <v>11450.2</v>
      </c>
      <c r="J47" s="41">
        <f>V9+V17</f>
        <v>11455.775</v>
      </c>
      <c r="K47" s="41">
        <f>W9+W17</f>
        <v>11458.442999999999</v>
      </c>
      <c r="M47" s="35" t="s">
        <v>58</v>
      </c>
      <c r="N47" s="50">
        <f t="shared" ref="N47:U47" si="30">N27+N38</f>
        <v>23710.883999999998</v>
      </c>
      <c r="O47" s="50">
        <f t="shared" si="30"/>
        <v>23839.717000000004</v>
      </c>
      <c r="P47" s="50">
        <f t="shared" si="30"/>
        <v>12431.166000000001</v>
      </c>
      <c r="Q47" s="50">
        <f t="shared" si="30"/>
        <v>14572.422</v>
      </c>
      <c r="R47" s="50">
        <f t="shared" si="30"/>
        <v>17879.542000000001</v>
      </c>
      <c r="S47" s="50">
        <f t="shared" si="30"/>
        <v>19061.428000000007</v>
      </c>
      <c r="T47" s="50">
        <f t="shared" si="30"/>
        <v>21986.766</v>
      </c>
      <c r="U47" s="50">
        <f t="shared" si="30"/>
        <v>21012.147000000004</v>
      </c>
      <c r="V47" s="50">
        <f>V27+V38</f>
        <v>21262.186999999998</v>
      </c>
      <c r="W47" s="50">
        <f>W27+W38</f>
        <v>22688.945999999996</v>
      </c>
    </row>
    <row r="48" spans="1:24" x14ac:dyDescent="0.3">
      <c r="A48" s="39" t="s">
        <v>84</v>
      </c>
      <c r="B48" s="43">
        <f t="shared" ref="B48:I49" si="31">N41</f>
        <v>35.134999999999998</v>
      </c>
      <c r="C48" s="43">
        <f t="shared" si="31"/>
        <v>172.97200000000001</v>
      </c>
      <c r="D48" s="43">
        <f t="shared" si="31"/>
        <v>371.16399999999999</v>
      </c>
      <c r="E48" s="43">
        <f t="shared" si="31"/>
        <v>41.555</v>
      </c>
      <c r="F48" s="43">
        <f t="shared" si="31"/>
        <v>115.97799999999999</v>
      </c>
      <c r="G48" s="43">
        <f t="shared" si="31"/>
        <v>16.242999999999999</v>
      </c>
      <c r="H48" s="43">
        <f t="shared" si="31"/>
        <v>962.50099999999998</v>
      </c>
      <c r="I48" s="43">
        <f t="shared" si="31"/>
        <v>172.54900000000001</v>
      </c>
      <c r="J48" s="43">
        <f>V41</f>
        <v>539.31700000000001</v>
      </c>
      <c r="K48" s="43">
        <f>W41</f>
        <v>190.49600000000001</v>
      </c>
      <c r="M48" s="33"/>
      <c r="N48" s="60"/>
      <c r="O48" s="60"/>
      <c r="P48" s="60"/>
      <c r="Q48" s="60"/>
      <c r="R48" s="60"/>
      <c r="S48" s="61"/>
      <c r="T48" s="39"/>
      <c r="U48" s="3"/>
      <c r="V48" s="3"/>
      <c r="W48" s="3"/>
    </row>
    <row r="49" spans="1:24" x14ac:dyDescent="0.3">
      <c r="A49" s="39" t="s">
        <v>85</v>
      </c>
      <c r="B49" s="43">
        <f t="shared" si="31"/>
        <v>0</v>
      </c>
      <c r="C49" s="43">
        <f t="shared" si="31"/>
        <v>0</v>
      </c>
      <c r="D49" s="43">
        <f t="shared" si="31"/>
        <v>6.7910000000000004</v>
      </c>
      <c r="E49" s="43">
        <f t="shared" si="31"/>
        <v>8.8729999999999993</v>
      </c>
      <c r="F49" s="43">
        <f t="shared" si="31"/>
        <v>10.523</v>
      </c>
      <c r="G49" s="43">
        <f t="shared" si="31"/>
        <v>12.154999999999999</v>
      </c>
      <c r="H49" s="43">
        <f t="shared" si="31"/>
        <v>39.362000000000002</v>
      </c>
      <c r="I49" s="43">
        <f t="shared" si="31"/>
        <v>57.4</v>
      </c>
      <c r="J49" s="43">
        <f>V42</f>
        <v>70.204999999999998</v>
      </c>
      <c r="K49" s="43">
        <f>W42</f>
        <v>2094.6190000000001</v>
      </c>
      <c r="M49" s="62" t="s">
        <v>60</v>
      </c>
      <c r="N49" s="63">
        <f t="shared" ref="N49:U49" si="32">N47-N15</f>
        <v>21181.500999999997</v>
      </c>
      <c r="O49" s="63">
        <f t="shared" si="32"/>
        <v>20825.984000000004</v>
      </c>
      <c r="P49" s="63">
        <f t="shared" si="32"/>
        <v>11699.050000000001</v>
      </c>
      <c r="Q49" s="63">
        <f t="shared" si="32"/>
        <v>13633.632000000001</v>
      </c>
      <c r="R49" s="63">
        <f t="shared" si="32"/>
        <v>16747.341</v>
      </c>
      <c r="S49" s="64">
        <f t="shared" si="32"/>
        <v>17762.915000000008</v>
      </c>
      <c r="T49" s="64">
        <f t="shared" si="32"/>
        <v>19010.702000000001</v>
      </c>
      <c r="U49" s="63">
        <f t="shared" si="32"/>
        <v>18992.447000000004</v>
      </c>
      <c r="V49" s="63">
        <f>V47-V15</f>
        <v>19316.274999999998</v>
      </c>
      <c r="W49" s="63">
        <f>W47-W15</f>
        <v>19598.240999999995</v>
      </c>
    </row>
    <row r="50" spans="1:24" x14ac:dyDescent="0.3">
      <c r="A50" s="8" t="s">
        <v>86</v>
      </c>
      <c r="B50" s="46">
        <f t="shared" ref="B50:H50" si="33">B46+B47-B48-B49</f>
        <v>22585.561596</v>
      </c>
      <c r="C50" s="46">
        <f t="shared" si="33"/>
        <v>23495.381258000001</v>
      </c>
      <c r="D50" s="46">
        <f t="shared" si="33"/>
        <v>23632.650645999998</v>
      </c>
      <c r="E50" s="46">
        <f t="shared" si="33"/>
        <v>26885.582768</v>
      </c>
      <c r="F50" s="46">
        <f t="shared" si="33"/>
        <v>31351.159481999999</v>
      </c>
      <c r="G50" s="46">
        <f t="shared" si="33"/>
        <v>34375.757528000002</v>
      </c>
      <c r="H50" s="46">
        <f t="shared" si="33"/>
        <v>47757.474812</v>
      </c>
      <c r="I50" s="46">
        <f>I46+I47-I48-I49</f>
        <v>45077.598628</v>
      </c>
      <c r="J50" s="46">
        <f>J46+J47-J48-J49</f>
        <v>49281.59706</v>
      </c>
      <c r="K50" s="46">
        <f>K46+K47-K48-K49</f>
        <v>46775.080190000001</v>
      </c>
      <c r="M50" s="62" t="s">
        <v>61</v>
      </c>
      <c r="N50" s="63">
        <f>26077.183+0.605</f>
        <v>26077.788</v>
      </c>
      <c r="O50" s="63">
        <f>26080.398+0.605</f>
        <v>26081.003000000001</v>
      </c>
      <c r="P50" s="63">
        <v>7.7279999999999998</v>
      </c>
      <c r="Q50" s="63">
        <v>7.7279999999999998</v>
      </c>
      <c r="R50" s="63">
        <v>7.7279999999999998</v>
      </c>
      <c r="S50" s="64">
        <v>7.7</v>
      </c>
      <c r="T50" s="75">
        <v>8.1280000000000001</v>
      </c>
      <c r="U50" s="75">
        <v>8.1280000000000001</v>
      </c>
      <c r="V50" s="75"/>
      <c r="W50" s="75"/>
    </row>
    <row r="51" spans="1:24" x14ac:dyDescent="0.3">
      <c r="M51" s="65" t="s">
        <v>62</v>
      </c>
      <c r="N51" s="66">
        <f t="shared" ref="N51:U51" si="34">N9+N17</f>
        <v>5957.8710000000001</v>
      </c>
      <c r="O51" s="66">
        <f t="shared" si="34"/>
        <v>5288.7790000000005</v>
      </c>
      <c r="P51" s="66">
        <f t="shared" si="34"/>
        <v>6108.6570000000002</v>
      </c>
      <c r="Q51" s="66">
        <f t="shared" si="34"/>
        <v>8533.9069999999992</v>
      </c>
      <c r="R51" s="66">
        <f t="shared" si="34"/>
        <v>9889.884</v>
      </c>
      <c r="S51" s="67">
        <f t="shared" si="34"/>
        <v>9783.9069999999992</v>
      </c>
      <c r="T51" s="67">
        <f t="shared" si="34"/>
        <v>11783.905999999999</v>
      </c>
      <c r="U51" s="66">
        <f t="shared" si="34"/>
        <v>11450.2</v>
      </c>
      <c r="V51" s="66">
        <f>V9+V17</f>
        <v>11455.775</v>
      </c>
      <c r="W51" s="66">
        <f>W9+W17</f>
        <v>11458.442999999999</v>
      </c>
    </row>
    <row r="52" spans="1:24" x14ac:dyDescent="0.3">
      <c r="M52" s="68"/>
      <c r="N52" s="68"/>
      <c r="O52" s="68"/>
      <c r="P52" s="68"/>
      <c r="Q52" s="68"/>
      <c r="R52" s="68"/>
      <c r="S52" s="68"/>
    </row>
    <row r="53" spans="1:24" x14ac:dyDescent="0.3">
      <c r="M53" s="95" t="s">
        <v>99</v>
      </c>
      <c r="N53" s="94"/>
      <c r="O53" s="94"/>
      <c r="P53" s="94"/>
      <c r="Q53" s="94"/>
      <c r="R53" s="94"/>
      <c r="S53" s="94"/>
      <c r="T53" s="94"/>
      <c r="U53" s="94"/>
      <c r="V53" s="94"/>
      <c r="W53" s="90"/>
    </row>
    <row r="54" spans="1:24" x14ac:dyDescent="0.3">
      <c r="M54" s="84"/>
      <c r="N54" s="83" t="s">
        <v>18</v>
      </c>
      <c r="O54" s="83" t="s">
        <v>19</v>
      </c>
      <c r="P54" s="83" t="s">
        <v>20</v>
      </c>
      <c r="Q54" s="83" t="s">
        <v>21</v>
      </c>
      <c r="R54" s="83" t="s">
        <v>22</v>
      </c>
      <c r="S54" s="83" t="s">
        <v>23</v>
      </c>
      <c r="T54" s="83" t="s">
        <v>75</v>
      </c>
      <c r="U54" s="85" t="s">
        <v>102</v>
      </c>
      <c r="V54" s="4" t="s">
        <v>105</v>
      </c>
      <c r="W54" s="4" t="s">
        <v>107</v>
      </c>
    </row>
    <row r="55" spans="1:24" x14ac:dyDescent="0.3">
      <c r="M55" s="33" t="s">
        <v>63</v>
      </c>
      <c r="N55" s="69">
        <v>184.9</v>
      </c>
      <c r="O55" s="33">
        <v>203.95</v>
      </c>
      <c r="P55" s="33">
        <v>198.65</v>
      </c>
      <c r="Q55" s="33">
        <v>204.2</v>
      </c>
      <c r="R55" s="33">
        <v>239.55</v>
      </c>
      <c r="S55" s="33">
        <v>273.2</v>
      </c>
      <c r="T55" s="33">
        <v>410.3</v>
      </c>
      <c r="U55" s="82">
        <v>375.7</v>
      </c>
      <c r="V55" s="82">
        <v>426.5</v>
      </c>
      <c r="W55" s="102">
        <v>417.25</v>
      </c>
    </row>
    <row r="56" spans="1:24" x14ac:dyDescent="0.3">
      <c r="M56" s="33" t="s">
        <v>64</v>
      </c>
      <c r="N56" s="69">
        <f t="shared" ref="N56:U56" si="35">B27</f>
        <v>4.83</v>
      </c>
      <c r="O56" s="69">
        <f t="shared" si="35"/>
        <v>5.67</v>
      </c>
      <c r="P56" s="69">
        <f t="shared" si="35"/>
        <v>6.18</v>
      </c>
      <c r="Q56" s="69">
        <f t="shared" si="35"/>
        <v>7.07</v>
      </c>
      <c r="R56" s="69">
        <f t="shared" si="35"/>
        <v>12.15</v>
      </c>
      <c r="S56" s="69">
        <f t="shared" si="35"/>
        <v>14.14</v>
      </c>
      <c r="T56" s="76">
        <f t="shared" si="35"/>
        <v>12.3</v>
      </c>
      <c r="U56" s="76">
        <f t="shared" si="35"/>
        <v>17.52</v>
      </c>
      <c r="V56" s="76">
        <f>J27</f>
        <v>22.81</v>
      </c>
      <c r="W56" s="103">
        <v>23.26</v>
      </c>
      <c r="X56" t="s">
        <v>104</v>
      </c>
    </row>
    <row r="57" spans="1:24" x14ac:dyDescent="0.3">
      <c r="A57" s="44"/>
      <c r="B57" s="45"/>
      <c r="C57" s="45"/>
      <c r="D57" s="45"/>
      <c r="E57" s="45"/>
      <c r="F57" s="45"/>
      <c r="G57" s="45"/>
      <c r="H57" s="45"/>
      <c r="I57" s="45"/>
      <c r="J57" s="45"/>
      <c r="K57" s="45"/>
      <c r="M57" s="33" t="s">
        <v>77</v>
      </c>
      <c r="N57" s="70">
        <f t="shared" ref="N57:W57" si="36">(N3*1000000)/B45</f>
        <v>161.52068997505938</v>
      </c>
      <c r="O57" s="70">
        <f t="shared" si="36"/>
        <v>166.98826339321184</v>
      </c>
      <c r="P57" s="70">
        <f t="shared" si="36"/>
        <v>46.651247630330168</v>
      </c>
      <c r="Q57" s="70">
        <f t="shared" si="36"/>
        <v>39.111136904442212</v>
      </c>
      <c r="R57" s="70">
        <f t="shared" si="36"/>
        <v>50.355189704525309</v>
      </c>
      <c r="S57" s="70">
        <f t="shared" si="36"/>
        <v>63.742398303380767</v>
      </c>
      <c r="T57" s="70">
        <f t="shared" si="36"/>
        <v>53.038792232942484</v>
      </c>
      <c r="U57" s="70">
        <f t="shared" si="36"/>
        <v>44.585745539960698</v>
      </c>
      <c r="V57" s="70">
        <f t="shared" si="36"/>
        <v>41.395751616435511</v>
      </c>
      <c r="W57" s="104">
        <f t="shared" si="36"/>
        <v>42.193438738791919</v>
      </c>
    </row>
    <row r="58" spans="1:24" x14ac:dyDescent="0.3">
      <c r="M58" s="33" t="s">
        <v>87</v>
      </c>
      <c r="N58" s="69">
        <f>N55/N56</f>
        <v>38.281573498964804</v>
      </c>
      <c r="O58" s="69">
        <f t="shared" ref="O58:U58" si="37">O55/O56</f>
        <v>35.970017636684304</v>
      </c>
      <c r="P58" s="69">
        <f t="shared" si="37"/>
        <v>32.144012944983821</v>
      </c>
      <c r="Q58" s="69">
        <f t="shared" si="37"/>
        <v>28.882602545968879</v>
      </c>
      <c r="R58" s="69">
        <f t="shared" si="37"/>
        <v>19.716049382716051</v>
      </c>
      <c r="S58" s="69">
        <f t="shared" si="37"/>
        <v>19.321074964639319</v>
      </c>
      <c r="T58" s="69">
        <f t="shared" si="37"/>
        <v>33.357723577235774</v>
      </c>
      <c r="U58" s="69">
        <f t="shared" si="37"/>
        <v>21.44406392694064</v>
      </c>
      <c r="V58" s="69">
        <f>V55/V56</f>
        <v>18.697939500219203</v>
      </c>
      <c r="W58" s="105">
        <f>W55/W56</f>
        <v>17.938521066208082</v>
      </c>
    </row>
    <row r="59" spans="1:24" x14ac:dyDescent="0.3">
      <c r="M59" s="33" t="s">
        <v>88</v>
      </c>
      <c r="N59" s="70">
        <f>N55/N57</f>
        <v>1.1447449860977603</v>
      </c>
      <c r="O59" s="70">
        <f t="shared" ref="O59:T59" si="38">O55/O57</f>
        <v>1.2213433199179593</v>
      </c>
      <c r="P59" s="70">
        <f t="shared" si="38"/>
        <v>4.2581926548701414</v>
      </c>
      <c r="Q59" s="70">
        <f t="shared" si="38"/>
        <v>5.2210192840701373</v>
      </c>
      <c r="R59" s="70">
        <f t="shared" si="38"/>
        <v>4.7572057896243454</v>
      </c>
      <c r="S59" s="70">
        <f t="shared" si="38"/>
        <v>4.2860012687271292</v>
      </c>
      <c r="T59" s="70">
        <f t="shared" si="38"/>
        <v>7.7358473435441839</v>
      </c>
      <c r="U59" s="70">
        <f>U55/U57</f>
        <v>8.4264599694373796</v>
      </c>
      <c r="V59" s="70">
        <f>V55/V57</f>
        <v>10.302989638933505</v>
      </c>
      <c r="W59" s="104">
        <f>W55/W57</f>
        <v>9.8889782978600316</v>
      </c>
    </row>
    <row r="60" spans="1:24" x14ac:dyDescent="0.3">
      <c r="M60" s="33" t="s">
        <v>89</v>
      </c>
      <c r="N60" s="70">
        <f t="shared" ref="N60:W60" si="39">B50/B13</f>
        <v>10.064970182849466</v>
      </c>
      <c r="O60" s="70">
        <f t="shared" si="39"/>
        <v>10.365603281115717</v>
      </c>
      <c r="P60" s="70">
        <f t="shared" si="39"/>
        <v>10.596080672728577</v>
      </c>
      <c r="Q60" s="70">
        <f t="shared" si="39"/>
        <v>11.823118706200219</v>
      </c>
      <c r="R60" s="70">
        <f t="shared" si="39"/>
        <v>13.521129695831119</v>
      </c>
      <c r="S60" s="70">
        <f t="shared" si="39"/>
        <v>14.344647666912728</v>
      </c>
      <c r="T60" s="70">
        <f t="shared" si="39"/>
        <v>15.911801714340738</v>
      </c>
      <c r="U60" s="70">
        <f t="shared" si="39"/>
        <v>9.7783567121105381</v>
      </c>
      <c r="V60" s="70">
        <f t="shared" si="39"/>
        <v>10.236290515952144</v>
      </c>
      <c r="W60" s="106" t="s">
        <v>108</v>
      </c>
    </row>
    <row r="61" spans="1:24" x14ac:dyDescent="0.3">
      <c r="M61" s="33" t="s">
        <v>90</v>
      </c>
      <c r="N61" s="71">
        <f t="shared" ref="N61:W65" si="40">B22/N3</f>
        <v>2.993034865245282E-2</v>
      </c>
      <c r="O61" s="71">
        <f t="shared" si="40"/>
        <v>3.3943498605024852E-2</v>
      </c>
      <c r="P61" s="71">
        <f t="shared" si="40"/>
        <v>0.13246580318016679</v>
      </c>
      <c r="Q61" s="71">
        <f t="shared" si="40"/>
        <v>0.18066605213215955</v>
      </c>
      <c r="R61" s="71">
        <f t="shared" si="40"/>
        <v>0.24124690854448216</v>
      </c>
      <c r="S61" s="71">
        <f t="shared" si="40"/>
        <v>0.22176629517055058</v>
      </c>
      <c r="T61" s="71">
        <f t="shared" si="40"/>
        <v>0.23182792747406139</v>
      </c>
      <c r="U61" s="71">
        <f t="shared" si="40"/>
        <v>0.3930253510470435</v>
      </c>
      <c r="V61" s="71">
        <f t="shared" si="40"/>
        <v>0.55123570434450664</v>
      </c>
      <c r="W61" s="106" t="s">
        <v>108</v>
      </c>
    </row>
    <row r="62" spans="1:24" x14ac:dyDescent="0.3">
      <c r="M62" s="33" t="s">
        <v>91</v>
      </c>
      <c r="N62" s="71">
        <f t="shared" ref="N62:W62" si="41">(B13-B17)/N49</f>
        <v>6.7941077452443072E-2</v>
      </c>
      <c r="O62" s="71">
        <f t="shared" si="41"/>
        <v>7.4911946537556159E-2</v>
      </c>
      <c r="P62" s="71">
        <f t="shared" si="41"/>
        <v>0.12891388617024455</v>
      </c>
      <c r="Q62" s="71">
        <f t="shared" si="41"/>
        <v>0.12360191326859929</v>
      </c>
      <c r="R62" s="71">
        <f t="shared" si="41"/>
        <v>0.10665448324005582</v>
      </c>
      <c r="S62" s="71">
        <f t="shared" si="41"/>
        <v>0.10749226689425691</v>
      </c>
      <c r="T62" s="71">
        <f t="shared" si="41"/>
        <v>0.11817080715904124</v>
      </c>
      <c r="U62" s="71">
        <f t="shared" si="41"/>
        <v>0.18861066191207479</v>
      </c>
      <c r="V62" s="71">
        <f t="shared" si="41"/>
        <v>0.22003724838251681</v>
      </c>
      <c r="W62" s="106" t="s">
        <v>108</v>
      </c>
    </row>
    <row r="63" spans="1:24" x14ac:dyDescent="0.3">
      <c r="M63" s="33" t="s">
        <v>92</v>
      </c>
      <c r="N63" s="69">
        <f t="shared" ref="N63:W63" si="42">B47/N3</f>
        <v>0.4093089083705278</v>
      </c>
      <c r="O63" s="69">
        <f t="shared" si="42"/>
        <v>0.35144529527721913</v>
      </c>
      <c r="P63" s="69">
        <f t="shared" si="42"/>
        <v>1.4530171481825325</v>
      </c>
      <c r="Q63" s="69">
        <f t="shared" si="42"/>
        <v>2.4212282235328129</v>
      </c>
      <c r="R63" s="69">
        <f t="shared" si="42"/>
        <v>2.1793913543037755</v>
      </c>
      <c r="S63" s="69">
        <f t="shared" si="42"/>
        <v>1.7032256099047061</v>
      </c>
      <c r="T63" s="69">
        <f t="shared" si="42"/>
        <v>2.4653802121951092</v>
      </c>
      <c r="U63" s="69">
        <f t="shared" si="42"/>
        <v>2.8497404168263656</v>
      </c>
      <c r="V63" s="69">
        <f t="shared" si="42"/>
        <v>3.0708384175435812</v>
      </c>
      <c r="W63" s="106" t="s">
        <v>108</v>
      </c>
    </row>
    <row r="64" spans="1:24" x14ac:dyDescent="0.3">
      <c r="M64" s="33" t="s">
        <v>93</v>
      </c>
      <c r="N64" s="69">
        <f t="shared" ref="N64:W64" si="43">(B47-B48-B49)/N3</f>
        <v>0.40689511517232019</v>
      </c>
      <c r="O64" s="69">
        <f t="shared" si="43"/>
        <v>0.33995111191000127</v>
      </c>
      <c r="P64" s="69">
        <f t="shared" si="43"/>
        <v>1.3631160297793665</v>
      </c>
      <c r="Q64" s="69">
        <f t="shared" si="43"/>
        <v>2.4069208615172308</v>
      </c>
      <c r="R64" s="69">
        <f t="shared" si="43"/>
        <v>2.151514871049697</v>
      </c>
      <c r="S64" s="69">
        <f t="shared" si="43"/>
        <v>1.6982819610259834</v>
      </c>
      <c r="T64" s="69">
        <f t="shared" si="43"/>
        <v>2.255774567383412</v>
      </c>
      <c r="U64" s="69">
        <f t="shared" si="43"/>
        <v>2.7925104156815115</v>
      </c>
      <c r="V64" s="69">
        <f t="shared" si="43"/>
        <v>2.9074497708620601</v>
      </c>
      <c r="W64" s="106" t="s">
        <v>108</v>
      </c>
    </row>
    <row r="65" spans="13:24" x14ac:dyDescent="0.3">
      <c r="M65" s="33" t="s">
        <v>94</v>
      </c>
      <c r="N65" s="33">
        <v>0.75</v>
      </c>
      <c r="O65" s="33">
        <v>0.75</v>
      </c>
      <c r="P65" s="33">
        <v>0.75</v>
      </c>
      <c r="Q65" s="33">
        <v>0.75</v>
      </c>
      <c r="R65" s="33">
        <v>0.75</v>
      </c>
      <c r="S65" s="69">
        <v>8</v>
      </c>
      <c r="T65" s="86">
        <v>26</v>
      </c>
      <c r="U65" s="86">
        <v>26</v>
      </c>
      <c r="V65" s="86">
        <v>26</v>
      </c>
      <c r="W65" s="106" t="s">
        <v>108</v>
      </c>
      <c r="X65" s="87" t="s">
        <v>106</v>
      </c>
    </row>
    <row r="66" spans="13:24" x14ac:dyDescent="0.3">
      <c r="M66" s="33" t="s">
        <v>95</v>
      </c>
      <c r="N66" s="71">
        <f t="shared" ref="N66:U66" si="44">N65/N55</f>
        <v>4.0562466197944834E-3</v>
      </c>
      <c r="O66" s="71">
        <f t="shared" si="44"/>
        <v>3.6773719048786469E-3</v>
      </c>
      <c r="P66" s="71">
        <f t="shared" si="44"/>
        <v>3.7754845205134656E-3</v>
      </c>
      <c r="Q66" s="71">
        <f t="shared" si="44"/>
        <v>3.6728697355533791E-3</v>
      </c>
      <c r="R66" s="71">
        <f t="shared" si="44"/>
        <v>3.1308703819661866E-3</v>
      </c>
      <c r="S66" s="71">
        <f t="shared" si="44"/>
        <v>2.9282576866764276E-2</v>
      </c>
      <c r="T66" s="71">
        <f>T65/T55</f>
        <v>6.3368267121618332E-2</v>
      </c>
      <c r="U66" s="71">
        <f t="shared" si="44"/>
        <v>6.9204152249134954E-2</v>
      </c>
      <c r="V66" s="71">
        <f>V65/V55</f>
        <v>6.096131301289566E-2</v>
      </c>
      <c r="W66" s="106" t="s">
        <v>108</v>
      </c>
      <c r="X66" s="88" t="s">
        <v>103</v>
      </c>
    </row>
    <row r="67" spans="13:24" x14ac:dyDescent="0.3">
      <c r="M67" s="33" t="s">
        <v>96</v>
      </c>
      <c r="N67" s="69">
        <f>365/(B6/((29.916+N40)/2))</f>
        <v>4.4649269220313066</v>
      </c>
      <c r="O67" s="69">
        <f t="shared" ref="O67:W67" si="45">365/(C6/((N40+O40)/2))</f>
        <v>4.9541812405852736</v>
      </c>
      <c r="P67" s="69">
        <f t="shared" si="45"/>
        <v>3.983685660747176</v>
      </c>
      <c r="Q67" s="69">
        <f t="shared" si="45"/>
        <v>3.0046783042826313</v>
      </c>
      <c r="R67" s="69">
        <f t="shared" si="45"/>
        <v>3.6946824187947702</v>
      </c>
      <c r="S67" s="69">
        <f t="shared" si="45"/>
        <v>3.3173859431254624</v>
      </c>
      <c r="T67" s="69">
        <f t="shared" si="45"/>
        <v>2.372553184832209</v>
      </c>
      <c r="U67" s="69">
        <f t="shared" si="45"/>
        <v>1.9009386235929682</v>
      </c>
      <c r="V67" s="69">
        <f t="shared" si="45"/>
        <v>1.8171880144879815</v>
      </c>
      <c r="W67" s="106" t="s">
        <v>108</v>
      </c>
    </row>
    <row r="68" spans="13:24" x14ac:dyDescent="0.3">
      <c r="M68" s="33" t="s">
        <v>97</v>
      </c>
      <c r="N68" s="71">
        <f t="shared" ref="N68:W68" si="46">B18/B47</f>
        <v>0.12127368988016021</v>
      </c>
      <c r="O68" s="71">
        <f t="shared" si="46"/>
        <v>0.14740339878070152</v>
      </c>
      <c r="P68" s="71">
        <f t="shared" si="46"/>
        <v>0.10731556870847389</v>
      </c>
      <c r="Q68" s="71">
        <f t="shared" si="46"/>
        <v>8.1693648641823741E-2</v>
      </c>
      <c r="R68" s="71">
        <f t="shared" si="46"/>
        <v>3.248480973083203E-2</v>
      </c>
      <c r="S68" s="71">
        <f t="shared" si="46"/>
        <v>1.434273649575778E-2</v>
      </c>
      <c r="T68" s="71">
        <f t="shared" si="46"/>
        <v>2.9354952424094357E-2</v>
      </c>
      <c r="U68" s="71">
        <f t="shared" si="46"/>
        <v>0.10976314824195209</v>
      </c>
      <c r="V68" s="71">
        <f t="shared" si="46"/>
        <v>0.10779829387361396</v>
      </c>
      <c r="W68" s="106" t="s">
        <v>108</v>
      </c>
    </row>
    <row r="69" spans="13:24" x14ac:dyDescent="0.3">
      <c r="M69" s="33" t="s">
        <v>98</v>
      </c>
      <c r="N69" s="69">
        <f t="shared" ref="N69:W69" si="47">B6/(N28+N29+N30)</f>
        <v>0.12731114658380682</v>
      </c>
      <c r="O69" s="69">
        <f t="shared" si="47"/>
        <v>0.12942964040133056</v>
      </c>
      <c r="P69" s="69">
        <f t="shared" si="47"/>
        <v>0.26131849869125734</v>
      </c>
      <c r="Q69" s="69">
        <f t="shared" si="47"/>
        <v>0.22207325364740219</v>
      </c>
      <c r="R69" s="69">
        <f t="shared" si="47"/>
        <v>0.18408651198113865</v>
      </c>
      <c r="S69" s="69">
        <f t="shared" si="47"/>
        <v>0.17303284292228505</v>
      </c>
      <c r="T69" s="69">
        <f t="shared" si="47"/>
        <v>0.19348642920612555</v>
      </c>
      <c r="U69" s="69">
        <f t="shared" si="47"/>
        <v>0.29697201520085492</v>
      </c>
      <c r="V69" s="69">
        <f t="shared" si="47"/>
        <v>0.31758180228038796</v>
      </c>
      <c r="W69" s="106" t="s">
        <v>108</v>
      </c>
    </row>
  </sheetData>
  <mergeCells count="4">
    <mergeCell ref="A31:G31"/>
    <mergeCell ref="A1:H1"/>
    <mergeCell ref="M1:T1"/>
    <mergeCell ref="M53:V53"/>
  </mergeCells>
  <phoneticPr fontId="6" type="noConversion"/>
  <pageMargins left="0.7" right="0.7" top="0.75" bottom="0.75" header="0.3" footer="0.3"/>
  <pageSetup paperSize="9" scale="3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Financials</vt:lpstr>
      <vt:lpstr>Sheet1</vt:lpstr>
      <vt:lpstr>Financials!Print_Area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Mansi Shah</dc:creator>
  <cp:lastModifiedBy>Yuvraj</cp:lastModifiedBy>
  <cp:lastPrinted>2024-11-15T06:45:12Z</cp:lastPrinted>
  <dcterms:created xsi:type="dcterms:W3CDTF">2021-04-28T06:41:22Z</dcterms:created>
  <dcterms:modified xsi:type="dcterms:W3CDTF">2024-11-28T10:46:01Z</dcterms:modified>
</cp:coreProperties>
</file>