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Harshit\VPRPL\Summary Sheet\Q2-FY25\"/>
    </mc:Choice>
  </mc:AlternateContent>
  <bookViews>
    <workbookView xWindow="0" yWindow="0" windowWidth="20490" windowHeight="7020" tabRatio="599"/>
  </bookViews>
  <sheets>
    <sheet name="Summary 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8" i="1" l="1"/>
  <c r="N75" i="1"/>
  <c r="N76" i="1"/>
  <c r="N67" i="1"/>
  <c r="N70" i="1" s="1"/>
  <c r="N66" i="1"/>
  <c r="G54" i="1"/>
  <c r="G53" i="1"/>
  <c r="F24" i="1"/>
  <c r="E24" i="1"/>
  <c r="D24" i="1"/>
  <c r="C24" i="1"/>
  <c r="N45" i="1"/>
  <c r="N39" i="1"/>
  <c r="N28" i="1"/>
  <c r="N12" i="1"/>
  <c r="N8" i="1"/>
  <c r="N14" i="1" s="1"/>
  <c r="G59" i="1"/>
  <c r="G52" i="1"/>
  <c r="G48" i="1"/>
  <c r="N60" i="1" l="1"/>
  <c r="N56" i="1"/>
  <c r="N61" i="1" s="1"/>
  <c r="G60" i="1"/>
  <c r="N7" i="1"/>
  <c r="G61" i="1"/>
  <c r="G14" i="1"/>
  <c r="G15" i="1" s="1"/>
  <c r="N15" i="1" l="1"/>
  <c r="N62" i="1"/>
  <c r="G62" i="1"/>
  <c r="N58" i="1"/>
  <c r="G21" i="1"/>
  <c r="D14" i="1"/>
  <c r="D21" i="1" s="1"/>
  <c r="K78" i="1" s="1"/>
  <c r="F14" i="1"/>
  <c r="F21" i="1" s="1"/>
  <c r="E14" i="1"/>
  <c r="E21" i="1" s="1"/>
  <c r="K12" i="1"/>
  <c r="D61" i="1"/>
  <c r="K8" i="1"/>
  <c r="L12" i="1"/>
  <c r="E60" i="1" s="1"/>
  <c r="E61" i="1"/>
  <c r="L8" i="1"/>
  <c r="M12" i="1"/>
  <c r="F61" i="1"/>
  <c r="M8" i="1"/>
  <c r="M75" i="1" s="1"/>
  <c r="J12" i="1"/>
  <c r="C61" i="1"/>
  <c r="J8" i="1"/>
  <c r="K56" i="1"/>
  <c r="K28" i="1"/>
  <c r="K39" i="1"/>
  <c r="K60" i="1" s="1"/>
  <c r="L28" i="1"/>
  <c r="L39" i="1"/>
  <c r="L48" i="1"/>
  <c r="L56" i="1" s="1"/>
  <c r="M39" i="1"/>
  <c r="M28" i="1"/>
  <c r="M56" i="1"/>
  <c r="J56" i="1"/>
  <c r="J28" i="1"/>
  <c r="J39" i="1"/>
  <c r="K45" i="1"/>
  <c r="K61" i="1" s="1"/>
  <c r="L45" i="1"/>
  <c r="M45" i="1"/>
  <c r="J45" i="1"/>
  <c r="J61" i="1" s="1"/>
  <c r="C14" i="1"/>
  <c r="D16" i="1" s="1"/>
  <c r="F41" i="1"/>
  <c r="F40" i="1"/>
  <c r="L81" i="1"/>
  <c r="M81" i="1"/>
  <c r="K81" i="1"/>
  <c r="J81" i="1"/>
  <c r="M80" i="1"/>
  <c r="L80" i="1"/>
  <c r="K80" i="1"/>
  <c r="K82" i="1" s="1"/>
  <c r="J80" i="1"/>
  <c r="M7" i="1"/>
  <c r="J7" i="1"/>
  <c r="L79" i="1"/>
  <c r="M79" i="1"/>
  <c r="K79" i="1"/>
  <c r="J79" i="1"/>
  <c r="M66" i="1"/>
  <c r="N69" i="1" s="1"/>
  <c r="C59" i="1"/>
  <c r="F52" i="1"/>
  <c r="F54" i="1" s="1"/>
  <c r="E52" i="1"/>
  <c r="E54" i="1" s="1"/>
  <c r="D52" i="1"/>
  <c r="D54" i="1" s="1"/>
  <c r="C52" i="1"/>
  <c r="C54" i="1" s="1"/>
  <c r="F48" i="1"/>
  <c r="C48" i="1"/>
  <c r="C49" i="1" s="1"/>
  <c r="D44" i="1" s="1"/>
  <c r="D48" i="1"/>
  <c r="E48" i="1"/>
  <c r="L7" i="1"/>
  <c r="F60" i="1"/>
  <c r="F59" i="1"/>
  <c r="K7" i="1"/>
  <c r="D59" i="1"/>
  <c r="K58" i="1"/>
  <c r="E59" i="1"/>
  <c r="D15" i="1"/>
  <c r="D6" i="1"/>
  <c r="M69" i="1"/>
  <c r="E16" i="1"/>
  <c r="E15" i="1"/>
  <c r="E6" i="1"/>
  <c r="F15" i="1"/>
  <c r="F7" i="1"/>
  <c r="F6" i="1"/>
  <c r="J66" i="1"/>
  <c r="J69" i="1" s="1"/>
  <c r="K66" i="1"/>
  <c r="K69" i="1" s="1"/>
  <c r="L66" i="1"/>
  <c r="L69" i="1" s="1"/>
  <c r="D40" i="1"/>
  <c r="E40" i="1"/>
  <c r="G23" i="1" l="1"/>
  <c r="G24" i="1"/>
  <c r="J62" i="1"/>
  <c r="C15" i="1"/>
  <c r="M61" i="1"/>
  <c r="M58" i="1"/>
  <c r="K15" i="1"/>
  <c r="M82" i="1"/>
  <c r="K14" i="1"/>
  <c r="D23" i="1"/>
  <c r="C21" i="1"/>
  <c r="F62" i="1"/>
  <c r="M71" i="1" s="1"/>
  <c r="L75" i="1"/>
  <c r="J75" i="1"/>
  <c r="M76" i="1"/>
  <c r="L82" i="1"/>
  <c r="J82" i="1"/>
  <c r="L60" i="1"/>
  <c r="L15" i="1" s="1"/>
  <c r="L14" i="1"/>
  <c r="L74" i="1" s="1"/>
  <c r="E23" i="1"/>
  <c r="F16" i="1"/>
  <c r="M62" i="1"/>
  <c r="M60" i="1"/>
  <c r="M15" i="1" s="1"/>
  <c r="J14" i="1"/>
  <c r="L76" i="1"/>
  <c r="L61" i="1"/>
  <c r="L62" i="1" s="1"/>
  <c r="M72" i="1" s="1"/>
  <c r="J76" i="1"/>
  <c r="D49" i="1"/>
  <c r="E44" i="1" s="1"/>
  <c r="E49" i="1" s="1"/>
  <c r="F44" i="1" s="1"/>
  <c r="F49" i="1" s="1"/>
  <c r="G44" i="1" s="1"/>
  <c r="G49" i="1" s="1"/>
  <c r="K62" i="1"/>
  <c r="K72" i="1" s="1"/>
  <c r="M14" i="1"/>
  <c r="M74" i="1" s="1"/>
  <c r="K76" i="1"/>
  <c r="J60" i="1"/>
  <c r="J15" i="1" s="1"/>
  <c r="E28" i="1"/>
  <c r="E34" i="1" s="1"/>
  <c r="D28" i="1"/>
  <c r="D34" i="1" s="1"/>
  <c r="G28" i="1"/>
  <c r="G34" i="1" s="1"/>
  <c r="F28" i="1"/>
  <c r="F34" i="1" s="1"/>
  <c r="M78" i="1"/>
  <c r="F23" i="1"/>
  <c r="L78" i="1"/>
  <c r="J72" i="1"/>
  <c r="J67" i="1"/>
  <c r="J70" i="1" s="1"/>
  <c r="K67" i="1"/>
  <c r="K70" i="1" s="1"/>
  <c r="L67" i="1"/>
  <c r="L70" i="1" s="1"/>
  <c r="F17" i="1"/>
  <c r="L58" i="1"/>
  <c r="L83" i="1"/>
  <c r="D60" i="1"/>
  <c r="K74" i="1"/>
  <c r="K75" i="1"/>
  <c r="K83" i="1"/>
  <c r="M83" i="1"/>
  <c r="C60" i="1"/>
  <c r="M67" i="1"/>
  <c r="M70" i="1" s="1"/>
  <c r="J83" i="1"/>
  <c r="J58" i="1"/>
  <c r="J78" i="1" l="1"/>
  <c r="C23" i="1"/>
  <c r="J74" i="1"/>
  <c r="C28" i="1"/>
  <c r="C34" i="1" s="1"/>
  <c r="E35" i="1"/>
  <c r="L72" i="1"/>
  <c r="G29" i="1"/>
  <c r="L73" i="1"/>
  <c r="D29" i="1"/>
  <c r="E29" i="1"/>
  <c r="K73" i="1"/>
  <c r="E30" i="1"/>
  <c r="F29" i="1"/>
  <c r="M73" i="1"/>
  <c r="F30" i="1"/>
  <c r="D30" i="1" l="1"/>
  <c r="D35" i="1"/>
  <c r="J73" i="1"/>
  <c r="C29" i="1"/>
  <c r="F31" i="1"/>
  <c r="F36" i="1"/>
  <c r="F35" i="1"/>
</calcChain>
</file>

<file path=xl/sharedStrings.xml><?xml version="1.0" encoding="utf-8"?>
<sst xmlns="http://schemas.openxmlformats.org/spreadsheetml/2006/main" count="164" uniqueCount="127">
  <si>
    <t>March Year Ended (INR Mn)</t>
  </si>
  <si>
    <t>FY21</t>
  </si>
  <si>
    <t>FY22</t>
  </si>
  <si>
    <t>FY23</t>
  </si>
  <si>
    <t>Share Capital</t>
  </si>
  <si>
    <t>Long Term Debt</t>
  </si>
  <si>
    <t>Short Term Debt</t>
  </si>
  <si>
    <t>Capital Employed</t>
  </si>
  <si>
    <t>Other Equity</t>
  </si>
  <si>
    <t>Total Equity</t>
  </si>
  <si>
    <t xml:space="preserve">Networth/Shareholder's Fund/Book value </t>
  </si>
  <si>
    <t>Minority Interest/Non Controlling Interest</t>
  </si>
  <si>
    <t>Total Loans</t>
  </si>
  <si>
    <t xml:space="preserve">Gross Block </t>
  </si>
  <si>
    <t xml:space="preserve">a) Property Plant &amp; Equipment </t>
  </si>
  <si>
    <t>c) Capital Work in Progress</t>
  </si>
  <si>
    <t>d) Other Intangible Assets</t>
  </si>
  <si>
    <t xml:space="preserve">e) Intangible Assets under Development </t>
  </si>
  <si>
    <t>g) Financial Assets:</t>
  </si>
  <si>
    <t xml:space="preserve">i)   Investments </t>
  </si>
  <si>
    <t>Total Non Current Assets</t>
  </si>
  <si>
    <t>Current Assets:</t>
  </si>
  <si>
    <t>Non-Current Assets:</t>
  </si>
  <si>
    <t xml:space="preserve">a) Inventories </t>
  </si>
  <si>
    <t>b) Financial Assets</t>
  </si>
  <si>
    <t xml:space="preserve">Total Current Assets </t>
  </si>
  <si>
    <t>Non-Current Liabilities:</t>
  </si>
  <si>
    <t xml:space="preserve">a) Financial Liabilities </t>
  </si>
  <si>
    <t xml:space="preserve">i)  Borrowings </t>
  </si>
  <si>
    <t xml:space="preserve">b) Provisions </t>
  </si>
  <si>
    <t>c) Deferred Tax Liabilities (Net)</t>
  </si>
  <si>
    <t xml:space="preserve">Total Non-current Liabilities </t>
  </si>
  <si>
    <t>Current Liabilities:</t>
  </si>
  <si>
    <t>ii) Trade Payables</t>
  </si>
  <si>
    <t>Total Outstanding Dues of Micro &amp; Small Enterprises</t>
  </si>
  <si>
    <t>Total Outstanding Dues of Creditors Other Than
 Micro &amp; Small Enterprises</t>
  </si>
  <si>
    <t xml:space="preserve">b) Other Current Liabilities </t>
  </si>
  <si>
    <t>c) Provisions</t>
  </si>
  <si>
    <t xml:space="preserve">Total Current Liabilities </t>
  </si>
  <si>
    <t xml:space="preserve">Net Current Assets </t>
  </si>
  <si>
    <t xml:space="preserve">Total Assets </t>
  </si>
  <si>
    <t xml:space="preserve">Total Liabilities  </t>
  </si>
  <si>
    <t>Total Liabilities &amp; Equity</t>
  </si>
  <si>
    <t>Consolidated Balance Sheet</t>
  </si>
  <si>
    <t xml:space="preserve">Consolidated Income Statement </t>
  </si>
  <si>
    <t>j) Other Non Current Assets</t>
  </si>
  <si>
    <t>iii)Other Financial Liabilities</t>
  </si>
  <si>
    <t xml:space="preserve">Revenue from Operations </t>
  </si>
  <si>
    <t>Growth (%)</t>
  </si>
  <si>
    <t xml:space="preserve">CAGR % - 3 Years </t>
  </si>
  <si>
    <t>Cost of Materials Consumed</t>
  </si>
  <si>
    <t>Changes in Inventories of FG, SIT and WIP</t>
  </si>
  <si>
    <t>Employee Benefit Expense</t>
  </si>
  <si>
    <t>Other Expenses</t>
  </si>
  <si>
    <t>R&amp;D Expenses</t>
  </si>
  <si>
    <t>EBITDA</t>
  </si>
  <si>
    <t>EBITDA margin (%)</t>
  </si>
  <si>
    <t>CAGR (%) - 3 Years</t>
  </si>
  <si>
    <t>Other Income</t>
  </si>
  <si>
    <t>Depreciation</t>
  </si>
  <si>
    <t>Finance Cost</t>
  </si>
  <si>
    <t>PBT</t>
  </si>
  <si>
    <t>Tax Expense</t>
  </si>
  <si>
    <t>Effective tax rate (%)</t>
  </si>
  <si>
    <t>Net Profit for the Year</t>
  </si>
  <si>
    <t>PAT margin (%)</t>
  </si>
  <si>
    <t>Total Comprehensive Income for the Year</t>
  </si>
  <si>
    <t>Basic EPS</t>
  </si>
  <si>
    <t xml:space="preserve">Diluted EPS </t>
  </si>
  <si>
    <t>Earning Per Share:</t>
  </si>
  <si>
    <t>Cash Flow From Operating Activities</t>
  </si>
  <si>
    <t>Cash Flow from Investing Activities</t>
  </si>
  <si>
    <t>Cash Flow From Financing Activities</t>
  </si>
  <si>
    <t>Cash and Cash Equivalents at End of the year</t>
  </si>
  <si>
    <t>Cash and Cash Equivalents at Beginning of the year:</t>
  </si>
  <si>
    <t xml:space="preserve">Operating Cash Inflow </t>
  </si>
  <si>
    <t>Capital Expenditure</t>
  </si>
  <si>
    <t>FCFF</t>
  </si>
  <si>
    <t>Free Cash Flow (INR MN)</t>
  </si>
  <si>
    <t>CASH FLOW STATEMENT (INR Mn)</t>
  </si>
  <si>
    <t>Total Debt</t>
  </si>
  <si>
    <t>Cash &amp; cash equivalent and other bank balance</t>
  </si>
  <si>
    <t>Enterprise Value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</si>
  <si>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</si>
  <si>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</si>
  <si>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</si>
  <si>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</si>
  <si>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</si>
  <si>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</si>
  <si>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</si>
  <si>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</si>
  <si>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</si>
  <si>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</si>
  <si>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</si>
  <si>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</si>
  <si>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</si>
  <si>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Coverage</t>
  </si>
  <si>
    <t>INR MN</t>
  </si>
  <si>
    <t xml:space="preserve">Market Cap </t>
  </si>
  <si>
    <t xml:space="preserve">Face Value per share </t>
  </si>
  <si>
    <t xml:space="preserve">No. of Shares </t>
  </si>
  <si>
    <t>N.A</t>
  </si>
  <si>
    <t>BVPS (₹)</t>
  </si>
  <si>
    <t>DPS (₹)</t>
  </si>
  <si>
    <t>CMP (As per Stock Price at BSE) (₹)</t>
  </si>
  <si>
    <t>Asset Tunover</t>
  </si>
  <si>
    <t>Ratios</t>
  </si>
  <si>
    <t xml:space="preserve">PAT </t>
  </si>
  <si>
    <t xml:space="preserve">Construction Expense </t>
  </si>
  <si>
    <t xml:space="preserve">b)Investment Property </t>
  </si>
  <si>
    <t>d) Other Current Assets</t>
  </si>
  <si>
    <t>c) Current Tax Assets</t>
  </si>
  <si>
    <t>FY24</t>
  </si>
  <si>
    <t>FY 24</t>
  </si>
  <si>
    <t>Net Change in Cash and Cash Equivalent</t>
  </si>
  <si>
    <t>ii)Other Financial Assets</t>
  </si>
  <si>
    <t>i) Trade Recievables</t>
  </si>
  <si>
    <t xml:space="preserve">ii)Cash &amp; Cash Equivalents </t>
  </si>
  <si>
    <t xml:space="preserve">iii)Bank Balances other than (ii) above </t>
  </si>
  <si>
    <t>iv) Loans</t>
  </si>
  <si>
    <t>v)Other Financial Assets</t>
  </si>
  <si>
    <t xml:space="preserve">Vishnu Prakash R Punglia Limited </t>
  </si>
  <si>
    <t>EPS (₹)</t>
  </si>
  <si>
    <t>TTM</t>
  </si>
  <si>
    <t>H1-FY25</t>
  </si>
  <si>
    <t>d) Current Tax Liabilities (Net)</t>
  </si>
  <si>
    <t xml:space="preserve">Other Comprehensive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</si>
</sst>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0.0"/>
    <numFmt numFmtId="165" formatCode="#,##0.0_ ;\-#,##0.0\ "/>
    <numFmt numFmtId="166" formatCode="_ * #,##0_ ;_ * \-#,##0_ ;_ * &quot;-&quot;??_ ;_ @_ "/>
    <numFmt numFmtId="167" formatCode="0.0%"/>
    <numFmt numFmtId="168" formatCode="_ * #,##0.0_ ;_ * \-#,##0.0_ ;_ * &quot;-&quot;??_ ;_ @_ 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i/>
      <sz val="11"/>
      <color theme="8" tint="-0.249977111117893"/>
      <name val="Calibri"/>
      <family val="2"/>
    </font>
    <font>
      <i/>
      <sz val="11"/>
      <color theme="1"/>
      <name val="Calibri"/>
      <family val="2"/>
    </font>
    <font>
      <b/>
      <i/>
      <sz val="11"/>
      <name val="Calibri"/>
      <family val="2"/>
    </font>
    <font>
      <i/>
      <sz val="11"/>
      <color rgb="FF0070C0"/>
      <name val="Calibri"/>
      <family val="2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164" fontId="0" fillId="0" borderId="0" xfId="0" applyNumberFormat="1"/>
    <xf numFmtId="0" fontId="2" fillId="2" borderId="1" xfId="0" applyFont="1" applyFill="1" applyBorder="1"/>
    <xf numFmtId="43" fontId="0" fillId="2" borderId="1" xfId="1" applyFont="1" applyFill="1" applyBorder="1"/>
    <xf numFmtId="0" fontId="2" fillId="3" borderId="1" xfId="0" applyFont="1" applyFill="1" applyBorder="1"/>
    <xf numFmtId="0" fontId="0" fillId="4" borderId="1" xfId="0" applyFill="1" applyBorder="1"/>
    <xf numFmtId="43" fontId="0" fillId="0" borderId="0" xfId="1" applyFont="1" applyFill="1"/>
    <xf numFmtId="43" fontId="0" fillId="0" borderId="0" xfId="1" applyFont="1" applyFill="1" applyAlignment="1">
      <alignment horizontal="right"/>
    </xf>
    <xf numFmtId="167" fontId="0" fillId="0" borderId="0" xfId="2" applyNumberFormat="1" applyFont="1" applyFill="1"/>
    <xf numFmtId="10" fontId="0" fillId="0" borderId="0" xfId="2" applyNumberFormat="1" applyFont="1" applyFill="1"/>
    <xf numFmtId="9" fontId="0" fillId="0" borderId="0" xfId="2" applyFont="1" applyFill="1"/>
    <xf numFmtId="165" fontId="0" fillId="0" borderId="0" xfId="0" applyNumberFormat="1"/>
    <xf numFmtId="0" fontId="0" fillId="5" borderId="0" xfId="0" applyFill="1"/>
    <xf numFmtId="0" fontId="4" fillId="5" borderId="1" xfId="0" applyFont="1" applyFill="1" applyBorder="1"/>
    <xf numFmtId="0" fontId="6" fillId="5" borderId="1" xfId="0" applyFont="1" applyFill="1" applyBorder="1"/>
    <xf numFmtId="168" fontId="2" fillId="2" borderId="1" xfId="1" applyNumberFormat="1" applyFont="1" applyFill="1" applyBorder="1"/>
    <xf numFmtId="168" fontId="0" fillId="0" borderId="1" xfId="1" applyNumberFormat="1" applyFont="1" applyFill="1" applyBorder="1"/>
    <xf numFmtId="10" fontId="5" fillId="5" borderId="1" xfId="0" applyNumberFormat="1" applyFont="1" applyFill="1" applyBorder="1" applyAlignment="1">
      <alignment horizontal="right"/>
    </xf>
    <xf numFmtId="10" fontId="5" fillId="5" borderId="1" xfId="0" applyNumberFormat="1" applyFont="1" applyFill="1" applyBorder="1"/>
    <xf numFmtId="0" fontId="0" fillId="4" borderId="1" xfId="0" applyFill="1" applyBorder="1" applyAlignment="1">
      <alignment horizontal="left"/>
    </xf>
    <xf numFmtId="168" fontId="0" fillId="0" borderId="1" xfId="1" applyNumberFormat="1" applyFont="1" applyFill="1" applyBorder="1" applyAlignment="1">
      <alignment horizontal="center" vertical="center"/>
    </xf>
    <xf numFmtId="168" fontId="0" fillId="0" borderId="1" xfId="1" applyNumberFormat="1" applyFont="1" applyFill="1" applyBorder="1" applyAlignment="1">
      <alignment horizontal="center"/>
    </xf>
    <xf numFmtId="0" fontId="7" fillId="5" borderId="1" xfId="0" applyFont="1" applyFill="1" applyBorder="1"/>
    <xf numFmtId="10" fontId="0" fillId="5" borderId="1" xfId="0" applyNumberFormat="1" applyFill="1" applyBorder="1"/>
    <xf numFmtId="164" fontId="0" fillId="0" borderId="1" xfId="0" applyNumberFormat="1" applyBorder="1"/>
    <xf numFmtId="168" fontId="0" fillId="2" borderId="1" xfId="1" applyNumberFormat="1" applyFont="1" applyFill="1" applyBorder="1"/>
    <xf numFmtId="43" fontId="0" fillId="0" borderId="1" xfId="1" applyFont="1" applyFill="1" applyBorder="1" applyAlignment="1">
      <alignment horizontal="right"/>
    </xf>
    <xf numFmtId="168" fontId="0" fillId="0" borderId="2" xfId="1" applyNumberFormat="1" applyFont="1" applyFill="1" applyBorder="1"/>
    <xf numFmtId="168" fontId="0" fillId="0" borderId="1" xfId="1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0" fillId="0" borderId="1" xfId="0" applyBorder="1" applyAlignment="1">
      <alignment horizontal="left" indent="1"/>
    </xf>
    <xf numFmtId="168" fontId="8" fillId="5" borderId="1" xfId="1" applyNumberFormat="1" applyFont="1" applyFill="1" applyBorder="1"/>
    <xf numFmtId="168" fontId="0" fillId="0" borderId="1" xfId="1" applyNumberFormat="1" applyFont="1" applyBorder="1"/>
    <xf numFmtId="0" fontId="2" fillId="2" borderId="1" xfId="0" applyFont="1" applyFill="1" applyBorder="1" applyAlignment="1">
      <alignment horizontal="left" vertical="center"/>
    </xf>
    <xf numFmtId="43" fontId="0" fillId="0" borderId="1" xfId="1" applyFont="1" applyFill="1" applyBorder="1"/>
    <xf numFmtId="43" fontId="9" fillId="0" borderId="1" xfId="1" applyFont="1" applyFill="1" applyBorder="1"/>
    <xf numFmtId="0" fontId="0" fillId="2" borderId="1" xfId="0" applyFill="1" applyBorder="1"/>
    <xf numFmtId="166" fontId="2" fillId="2" borderId="1" xfId="1" applyNumberFormat="1" applyFont="1" applyFill="1" applyBorder="1" applyAlignment="1">
      <alignment horizontal="right"/>
    </xf>
    <xf numFmtId="10" fontId="0" fillId="2" borderId="1" xfId="2" applyNumberFormat="1" applyFont="1" applyFill="1" applyBorder="1"/>
    <xf numFmtId="43" fontId="5" fillId="5" borderId="1" xfId="1" applyFont="1" applyFill="1" applyBorder="1" applyAlignment="1">
      <alignment horizontal="right"/>
    </xf>
    <xf numFmtId="43" fontId="5" fillId="5" borderId="1" xfId="1" applyFont="1" applyFill="1" applyBorder="1"/>
    <xf numFmtId="0" fontId="3" fillId="5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2" fillId="3" borderId="1" xfId="0" applyFont="1" applyFill="1" applyBorder="1" applyAlignment="1">
      <alignment horizontal="center"/>
    </xf>
    <xf numFmtId="9" fontId="2" fillId="3" borderId="1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5"/>
  <sheetViews>
    <sheetView tabSelected="1" zoomScaleNormal="100" workbookViewId="0">
      <selection activeCell="J4" sqref="J4:N4"/>
    </sheetView>
  </sheetViews>
  <sheetFormatPr defaultRowHeight="15" x14ac:dyDescent="0.25"/>
  <cols>
    <col min="2" max="2" width="69.42578125" bestFit="1" customWidth="1"/>
    <col min="3" max="6" width="10.7109375" customWidth="1"/>
    <col min="7" max="7" width="9.7109375" bestFit="1" customWidth="1"/>
    <col min="8" max="8" width="7.42578125" customWidth="1"/>
    <col min="9" max="9" width="48.140625" bestFit="1" customWidth="1"/>
    <col min="10" max="12" width="10.7109375" customWidth="1"/>
  </cols>
  <sheetData>
    <row r="1" spans="2:14" x14ac:dyDescent="0.25">
      <c r="F1" s="4"/>
      <c r="G1" s="14"/>
    </row>
    <row r="2" spans="2:14" ht="21" x14ac:dyDescent="0.35">
      <c r="B2" s="44" t="s">
        <v>121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4" x14ac:dyDescent="0.25">
      <c r="B3" s="45" t="s">
        <v>44</v>
      </c>
      <c r="C3" s="45"/>
      <c r="D3" s="45"/>
      <c r="E3" s="45"/>
      <c r="F3" s="45"/>
      <c r="G3" s="45"/>
      <c r="I3" s="45" t="s">
        <v>43</v>
      </c>
      <c r="J3" s="45"/>
      <c r="K3" s="45"/>
      <c r="L3" s="45"/>
      <c r="M3" s="45"/>
      <c r="N3" s="45"/>
    </row>
    <row r="4" spans="2:14" x14ac:dyDescent="0.25">
      <c r="B4" s="7" t="s">
        <v>0</v>
      </c>
      <c r="C4" s="47" t="s">
        <v>1</v>
      </c>
      <c r="D4" s="47" t="s">
        <v>2</v>
      </c>
      <c r="E4" s="47" t="s">
        <v>3</v>
      </c>
      <c r="F4" s="47" t="s">
        <v>112</v>
      </c>
      <c r="G4" s="47" t="s">
        <v>124</v>
      </c>
      <c r="I4" s="7" t="s">
        <v>0</v>
      </c>
      <c r="J4" s="47" t="s">
        <v>1</v>
      </c>
      <c r="K4" s="47" t="s">
        <v>2</v>
      </c>
      <c r="L4" s="47" t="s">
        <v>3</v>
      </c>
      <c r="M4" s="47" t="s">
        <v>112</v>
      </c>
      <c r="N4" s="47" t="s">
        <v>124</v>
      </c>
    </row>
    <row r="5" spans="2:14" x14ac:dyDescent="0.25">
      <c r="B5" s="5" t="s">
        <v>47</v>
      </c>
      <c r="C5" s="18">
        <v>4857.3100000000004</v>
      </c>
      <c r="D5" s="18">
        <v>7856.13</v>
      </c>
      <c r="E5" s="18">
        <v>11684.04</v>
      </c>
      <c r="F5" s="18">
        <v>14738.65</v>
      </c>
      <c r="G5" s="18">
        <v>5914.32</v>
      </c>
      <c r="I5" s="1" t="s">
        <v>4</v>
      </c>
      <c r="J5" s="19">
        <v>281.48</v>
      </c>
      <c r="K5" s="19">
        <v>281.48</v>
      </c>
      <c r="L5" s="19">
        <v>934.44</v>
      </c>
      <c r="M5" s="19">
        <v>1246.44</v>
      </c>
      <c r="N5" s="19">
        <v>1246.44</v>
      </c>
    </row>
    <row r="6" spans="2:14" x14ac:dyDescent="0.25">
      <c r="B6" s="16" t="s">
        <v>48</v>
      </c>
      <c r="C6" s="20"/>
      <c r="D6" s="20">
        <f>IF(D5/C5-1&gt;100%,"N.A.",IF(D5/C5-1&lt;-100%,"N.A.",(D5/C5-1)))</f>
        <v>0.61738287241291978</v>
      </c>
      <c r="E6" s="20">
        <f>IF(E5/D5-1&gt;100%,"N.A.",IF(E5/D5-1&lt;-100%,"N.A.",(E5/D5-1)))</f>
        <v>0.4872513565839669</v>
      </c>
      <c r="F6" s="20">
        <f>IF(F5/E5-1&gt;100%,"N.A.",IF(F5/E5-1&lt;-100%,"N.A.",(F5/E5-1)))</f>
        <v>0.26143440111468275</v>
      </c>
      <c r="G6" s="42">
        <v>0</v>
      </c>
      <c r="I6" s="1" t="s">
        <v>8</v>
      </c>
      <c r="J6" s="19">
        <v>854.66</v>
      </c>
      <c r="K6" s="19">
        <v>1305.42</v>
      </c>
      <c r="L6" s="19">
        <v>2210.63</v>
      </c>
      <c r="M6" s="19">
        <v>5964.2</v>
      </c>
      <c r="N6" s="19">
        <v>6347.56</v>
      </c>
    </row>
    <row r="7" spans="2:14" x14ac:dyDescent="0.25">
      <c r="B7" s="16" t="s">
        <v>49</v>
      </c>
      <c r="C7" s="21"/>
      <c r="D7" s="21"/>
      <c r="E7" s="21"/>
      <c r="F7" s="21">
        <f>IF((F5/C5)^(1/3)-1&gt;100%,"N.A.",IF((F5/C5)^(1/3)-1&lt;-100%,"N.A.",((F5/C5)^(1/3)-1)))</f>
        <v>0.44772906903788101</v>
      </c>
      <c r="G7" s="43">
        <v>0</v>
      </c>
      <c r="I7" s="5" t="s">
        <v>9</v>
      </c>
      <c r="J7" s="18">
        <f>SUM(J5:J6)</f>
        <v>1136.1399999999999</v>
      </c>
      <c r="K7" s="18">
        <f>SUM(K5:K6)</f>
        <v>1586.9</v>
      </c>
      <c r="L7" s="18">
        <f>SUM(L5:L6)</f>
        <v>3145.07</v>
      </c>
      <c r="M7" s="18">
        <f>SUM(M5:M6)+M9</f>
        <v>7210.6399999999994</v>
      </c>
      <c r="N7" s="18">
        <f>SUM(N5:N6)+N9</f>
        <v>7594</v>
      </c>
    </row>
    <row r="8" spans="2:14" x14ac:dyDescent="0.25">
      <c r="B8" s="22" t="s">
        <v>50</v>
      </c>
      <c r="C8" s="19">
        <v>1473.95</v>
      </c>
      <c r="D8" s="19">
        <v>3456.23</v>
      </c>
      <c r="E8" s="19">
        <v>4884.34</v>
      </c>
      <c r="F8" s="19">
        <v>5911.52</v>
      </c>
      <c r="G8" s="19">
        <v>3595.81</v>
      </c>
      <c r="I8" s="5" t="s">
        <v>10</v>
      </c>
      <c r="J8" s="18">
        <f>SUM(J5:J6)</f>
        <v>1136.1399999999999</v>
      </c>
      <c r="K8" s="18">
        <f>SUM(K5:K6)</f>
        <v>1586.9</v>
      </c>
      <c r="L8" s="18">
        <f>SUM(L5:L6)</f>
        <v>3145.07</v>
      </c>
      <c r="M8" s="18">
        <f>SUM(M5:M6)</f>
        <v>7210.6399999999994</v>
      </c>
      <c r="N8" s="18">
        <f>SUM(N5:N6)</f>
        <v>7594</v>
      </c>
    </row>
    <row r="9" spans="2:14" x14ac:dyDescent="0.25">
      <c r="B9" s="22" t="s">
        <v>108</v>
      </c>
      <c r="C9" s="19">
        <v>2786.66</v>
      </c>
      <c r="D9" s="19">
        <v>4001.26</v>
      </c>
      <c r="E9" s="19">
        <v>6214.92</v>
      </c>
      <c r="F9" s="19">
        <v>6764.44</v>
      </c>
      <c r="G9" s="19">
        <v>3116.73</v>
      </c>
      <c r="I9" s="1" t="s">
        <v>11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</row>
    <row r="10" spans="2:14" x14ac:dyDescent="0.25">
      <c r="B10" s="22" t="s">
        <v>51</v>
      </c>
      <c r="C10" s="19">
        <v>-37.01</v>
      </c>
      <c r="D10" s="19">
        <v>-714.75</v>
      </c>
      <c r="E10" s="19">
        <v>-1357.37</v>
      </c>
      <c r="F10" s="19">
        <v>-665.35</v>
      </c>
      <c r="G10" s="19">
        <v>-1956.15</v>
      </c>
      <c r="I10" s="1" t="s">
        <v>5</v>
      </c>
      <c r="J10" s="19">
        <v>190.56</v>
      </c>
      <c r="K10" s="19">
        <v>418.62</v>
      </c>
      <c r="L10" s="19">
        <v>602.97</v>
      </c>
      <c r="M10" s="19">
        <v>250.25</v>
      </c>
      <c r="N10" s="19">
        <v>667.8</v>
      </c>
    </row>
    <row r="11" spans="2:14" x14ac:dyDescent="0.25">
      <c r="B11" s="22" t="s">
        <v>52</v>
      </c>
      <c r="C11" s="19">
        <v>100.87</v>
      </c>
      <c r="D11" s="19">
        <v>149.71</v>
      </c>
      <c r="E11" s="19">
        <v>265.29000000000002</v>
      </c>
      <c r="F11" s="19">
        <v>383.79</v>
      </c>
      <c r="G11" s="19">
        <v>225.33</v>
      </c>
      <c r="I11" s="1" t="s">
        <v>6</v>
      </c>
      <c r="J11" s="19">
        <v>917.26</v>
      </c>
      <c r="K11" s="19">
        <v>1347.15</v>
      </c>
      <c r="L11" s="19">
        <v>1900.77</v>
      </c>
      <c r="M11" s="19">
        <v>3704.92</v>
      </c>
      <c r="N11" s="19">
        <v>4955.5200000000004</v>
      </c>
    </row>
    <row r="12" spans="2:14" x14ac:dyDescent="0.25">
      <c r="B12" s="8" t="s">
        <v>54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I12" s="5" t="s">
        <v>12</v>
      </c>
      <c r="J12" s="18">
        <f>SUM(J10:J11)</f>
        <v>1107.82</v>
      </c>
      <c r="K12" s="18">
        <f t="shared" ref="K12:M12" si="0">SUM(K10:K11)</f>
        <v>1765.77</v>
      </c>
      <c r="L12" s="18">
        <f t="shared" si="0"/>
        <v>2503.7399999999998</v>
      </c>
      <c r="M12" s="18">
        <f t="shared" si="0"/>
        <v>3955.17</v>
      </c>
      <c r="N12" s="18">
        <f>SUM(N10:N11)</f>
        <v>5623.3200000000006</v>
      </c>
    </row>
    <row r="13" spans="2:14" x14ac:dyDescent="0.25">
      <c r="B13" s="22" t="s">
        <v>53</v>
      </c>
      <c r="C13" s="19">
        <v>79.05</v>
      </c>
      <c r="D13" s="19">
        <v>95.01</v>
      </c>
      <c r="E13" s="19">
        <v>111.03</v>
      </c>
      <c r="F13" s="19">
        <v>245.35</v>
      </c>
      <c r="G13" s="19">
        <v>110.36</v>
      </c>
      <c r="I13" s="1"/>
      <c r="J13" s="19"/>
      <c r="K13" s="19"/>
      <c r="L13" s="19"/>
      <c r="M13" s="19"/>
      <c r="N13" s="19"/>
    </row>
    <row r="14" spans="2:14" x14ac:dyDescent="0.25">
      <c r="B14" s="5" t="s">
        <v>55</v>
      </c>
      <c r="C14" s="18">
        <f>C5-SUM(C8:C13)</f>
        <v>453.79000000000087</v>
      </c>
      <c r="D14" s="18">
        <f>D5-SUM(D8:D13)</f>
        <v>868.67000000000007</v>
      </c>
      <c r="E14" s="18">
        <f>E5-SUM(E8:E13)</f>
        <v>1565.83</v>
      </c>
      <c r="F14" s="18">
        <f>F5-SUM(F8:F13)</f>
        <v>2098.8999999999996</v>
      </c>
      <c r="G14" s="18">
        <f>G5-SUM(G8:G13)</f>
        <v>822.24000000000069</v>
      </c>
      <c r="I14" s="5" t="s">
        <v>7</v>
      </c>
      <c r="J14" s="18">
        <f>J8+J45+J9</f>
        <v>1354.7399999999998</v>
      </c>
      <c r="K14" s="18">
        <f>K8+K45+K9</f>
        <v>2038.0800000000002</v>
      </c>
      <c r="L14" s="18">
        <f>L8+L45+L9</f>
        <v>3788.96</v>
      </c>
      <c r="M14" s="18">
        <f>M8+M45+M9</f>
        <v>7511.4199999999992</v>
      </c>
      <c r="N14" s="18">
        <f>N8+N45+N9</f>
        <v>8313.7199999999993</v>
      </c>
    </row>
    <row r="15" spans="2:14" x14ac:dyDescent="0.25">
      <c r="B15" s="25" t="s">
        <v>56</v>
      </c>
      <c r="C15" s="26">
        <f>IF(C14/C5&gt;100%,"N.A",IF(C14/C5&lt;-100%,"N.A.",(C14/C5)))</f>
        <v>9.342413805172016E-2</v>
      </c>
      <c r="D15" s="26">
        <f>IF(D14/D5&gt;100%,"N.A",IF(D14/D5&lt;-100%,"N.A.",(D14/D5)))</f>
        <v>0.1105722537687131</v>
      </c>
      <c r="E15" s="26">
        <f>IF(E14/E5&gt;100%,"N.A",IF(E14/E5&lt;-100%,"N.A.",(E14/E5)))</f>
        <v>0.13401443336380223</v>
      </c>
      <c r="F15" s="26">
        <f>IF(F14/F5&gt;100%,"N.A",IF(F14/F5&lt;-100%,"N.A.",(F14/F5)))</f>
        <v>0.14240788674675087</v>
      </c>
      <c r="G15" s="26">
        <f>IF(G14/G5&gt;100%,"N.A",IF(G14/G5&lt;-100%,"N.A.",(G14/G5)))</f>
        <v>0.13902528101286382</v>
      </c>
      <c r="I15" s="5" t="s">
        <v>7</v>
      </c>
      <c r="J15" s="18">
        <f>J60-J56</f>
        <v>1354.7400000000005</v>
      </c>
      <c r="K15" s="18">
        <f t="shared" ref="K15:M15" si="1">K60-K56</f>
        <v>2038.0799999999995</v>
      </c>
      <c r="L15" s="18">
        <f t="shared" si="1"/>
        <v>3788.96</v>
      </c>
      <c r="M15" s="18">
        <f t="shared" si="1"/>
        <v>7511.42</v>
      </c>
      <c r="N15" s="18">
        <f>N60-N56</f>
        <v>8313.7199999999993</v>
      </c>
    </row>
    <row r="16" spans="2:14" x14ac:dyDescent="0.25">
      <c r="B16" s="25" t="s">
        <v>48</v>
      </c>
      <c r="C16" s="21"/>
      <c r="D16" s="21">
        <f>IF(D14/C14-1&gt;100%,("N.A."),IF(D14/C14-1&lt;-100%,("N.A."),(D14/C14-1)))</f>
        <v>0.91425549262874539</v>
      </c>
      <c r="E16" s="21">
        <f>IF(E14/D14-1&gt;100%,("N.A."),IF(E14/D14-1&lt;-100%,("N.A."),(E14/D14-1)))</f>
        <v>0.80256023576271751</v>
      </c>
      <c r="F16" s="21">
        <f>IF(F14/E14-1&gt;100%,("N.A."),IF(F14/E14-1&lt;-100%,("N.A."),(F14/E14-1)))</f>
        <v>0.34043925585791546</v>
      </c>
      <c r="G16" s="43">
        <v>0</v>
      </c>
      <c r="I16" s="1"/>
      <c r="J16" s="35"/>
      <c r="K16" s="35"/>
      <c r="L16" s="35"/>
      <c r="M16" s="35"/>
      <c r="N16" s="35"/>
    </row>
    <row r="17" spans="2:14" x14ac:dyDescent="0.25">
      <c r="B17" s="25" t="s">
        <v>57</v>
      </c>
      <c r="C17" s="20"/>
      <c r="D17" s="20"/>
      <c r="E17" s="20"/>
      <c r="F17" s="20">
        <f>IF((F14/C14)^(1/3)-1&lt;-100%,"N.A.",IF((F14/C14)^(1/3)-1&gt;100%,"N.A.",((F14/C14)^(1/3)-1)))</f>
        <v>0.66614300988767461</v>
      </c>
      <c r="G17" s="42">
        <v>0</v>
      </c>
      <c r="I17" s="5" t="s">
        <v>13</v>
      </c>
      <c r="J17" s="28"/>
      <c r="K17" s="28"/>
      <c r="L17" s="28"/>
      <c r="M17" s="28"/>
      <c r="N17" s="28"/>
    </row>
    <row r="18" spans="2:14" x14ac:dyDescent="0.25">
      <c r="B18" s="8" t="s">
        <v>58</v>
      </c>
      <c r="C18" s="19">
        <v>19.420000000000002</v>
      </c>
      <c r="D18" s="19">
        <v>17.739999999999998</v>
      </c>
      <c r="E18" s="19">
        <v>30.6</v>
      </c>
      <c r="F18" s="19">
        <v>87.81</v>
      </c>
      <c r="G18" s="19">
        <v>41.33</v>
      </c>
      <c r="I18" s="3" t="s">
        <v>22</v>
      </c>
      <c r="J18" s="35"/>
      <c r="K18" s="35"/>
      <c r="L18" s="35"/>
      <c r="M18" s="35"/>
      <c r="N18" s="35"/>
    </row>
    <row r="19" spans="2:14" x14ac:dyDescent="0.25">
      <c r="B19" s="8" t="s">
        <v>59</v>
      </c>
      <c r="C19" s="19">
        <v>41.03</v>
      </c>
      <c r="D19" s="19">
        <v>41.87</v>
      </c>
      <c r="E19" s="19">
        <v>69.760000000000005</v>
      </c>
      <c r="F19" s="19">
        <v>111.75</v>
      </c>
      <c r="G19" s="19">
        <v>69.489999999999995</v>
      </c>
      <c r="I19" s="1" t="s">
        <v>14</v>
      </c>
      <c r="J19" s="19">
        <v>484.98</v>
      </c>
      <c r="K19" s="19">
        <v>720.44</v>
      </c>
      <c r="L19" s="19">
        <v>1253.67</v>
      </c>
      <c r="M19" s="19">
        <v>1663.32</v>
      </c>
      <c r="N19" s="19">
        <v>1886.27</v>
      </c>
    </row>
    <row r="20" spans="2:14" x14ac:dyDescent="0.25">
      <c r="B20" s="8" t="s">
        <v>60</v>
      </c>
      <c r="C20" s="19">
        <v>175.4</v>
      </c>
      <c r="D20" s="19">
        <v>240.73</v>
      </c>
      <c r="E20" s="19">
        <v>302.27999999999997</v>
      </c>
      <c r="F20" s="19">
        <v>429.78</v>
      </c>
      <c r="G20" s="19">
        <v>280.36</v>
      </c>
      <c r="I20" s="8" t="s">
        <v>109</v>
      </c>
      <c r="J20" s="19">
        <v>68.819999999999993</v>
      </c>
      <c r="K20" s="19">
        <v>94.42</v>
      </c>
      <c r="L20" s="19">
        <v>93.84</v>
      </c>
      <c r="M20" s="19">
        <v>92.73</v>
      </c>
      <c r="N20" s="19">
        <v>92.16</v>
      </c>
    </row>
    <row r="21" spans="2:14" x14ac:dyDescent="0.25">
      <c r="B21" s="5" t="s">
        <v>61</v>
      </c>
      <c r="C21" s="18">
        <f>C14+C18-SUM(C19:C20)</f>
        <v>256.78000000000088</v>
      </c>
      <c r="D21" s="18">
        <f>D14+D18-SUM(D19:D20)</f>
        <v>603.81000000000017</v>
      </c>
      <c r="E21" s="18">
        <f>E14+E18-SUM(E19:E20)</f>
        <v>1224.3899999999999</v>
      </c>
      <c r="F21" s="18">
        <f>F14+F18-SUM(F19:F20)</f>
        <v>1645.1799999999996</v>
      </c>
      <c r="G21" s="18">
        <f>G14+G18-SUM(G19:G20)</f>
        <v>513.72000000000071</v>
      </c>
      <c r="I21" s="1" t="s">
        <v>15</v>
      </c>
      <c r="J21" s="19">
        <v>0</v>
      </c>
      <c r="K21" s="19">
        <v>3.27</v>
      </c>
      <c r="L21" s="19">
        <v>55.56</v>
      </c>
      <c r="M21" s="19">
        <v>55.71</v>
      </c>
      <c r="N21" s="19">
        <v>31.82</v>
      </c>
    </row>
    <row r="22" spans="2:14" x14ac:dyDescent="0.25">
      <c r="B22" s="8" t="s">
        <v>62</v>
      </c>
      <c r="C22" s="19">
        <v>66.960000000000008</v>
      </c>
      <c r="D22" s="19">
        <v>155.34</v>
      </c>
      <c r="E22" s="19">
        <v>317.95999999999998</v>
      </c>
      <c r="F22" s="19">
        <v>423.33000000000004</v>
      </c>
      <c r="G22" s="19">
        <v>128.76</v>
      </c>
      <c r="I22" s="1" t="s">
        <v>16</v>
      </c>
      <c r="J22" s="19">
        <v>0</v>
      </c>
      <c r="K22" s="19">
        <v>0</v>
      </c>
      <c r="L22" s="19">
        <v>0</v>
      </c>
      <c r="M22" s="19">
        <v>1.1100000000000001</v>
      </c>
      <c r="N22" s="19">
        <v>1.46</v>
      </c>
    </row>
    <row r="23" spans="2:14" x14ac:dyDescent="0.25">
      <c r="B23" s="25" t="s">
        <v>63</v>
      </c>
      <c r="C23" s="21">
        <f>C22/C21</f>
        <v>0.26076797258353368</v>
      </c>
      <c r="D23" s="21">
        <f>D22/D21</f>
        <v>0.25726635862274549</v>
      </c>
      <c r="E23" s="21">
        <f>E22/E21</f>
        <v>0.25968849794591592</v>
      </c>
      <c r="F23" s="21">
        <f>F22/F21</f>
        <v>0.25731530896315308</v>
      </c>
      <c r="G23" s="21">
        <f>G22/G21</f>
        <v>0.25064237327727129</v>
      </c>
      <c r="I23" s="1" t="s">
        <v>17</v>
      </c>
      <c r="J23" s="19">
        <v>0</v>
      </c>
      <c r="K23" s="19">
        <v>0</v>
      </c>
      <c r="L23" s="19">
        <v>0</v>
      </c>
      <c r="M23" s="19">
        <v>0.51</v>
      </c>
      <c r="N23" s="19">
        <v>2.04</v>
      </c>
    </row>
    <row r="24" spans="2:14" x14ac:dyDescent="0.25">
      <c r="B24" s="5" t="s">
        <v>107</v>
      </c>
      <c r="C24" s="28">
        <f>C21-C22</f>
        <v>189.82000000000087</v>
      </c>
      <c r="D24" s="28">
        <f>D21-D22</f>
        <v>448.47000000000014</v>
      </c>
      <c r="E24" s="28">
        <f>E21-E22</f>
        <v>906.42999999999984</v>
      </c>
      <c r="F24" s="28">
        <f>F21-F22</f>
        <v>1221.8499999999995</v>
      </c>
      <c r="G24" s="28">
        <f>G21-G22</f>
        <v>384.96000000000072</v>
      </c>
      <c r="I24" s="1" t="s">
        <v>18</v>
      </c>
      <c r="J24" s="19"/>
      <c r="K24" s="19"/>
      <c r="L24" s="19"/>
      <c r="M24" s="19"/>
      <c r="N24" s="19"/>
    </row>
    <row r="25" spans="2:14" x14ac:dyDescent="0.25">
      <c r="B25" s="3"/>
      <c r="C25" s="29"/>
      <c r="D25" s="29"/>
      <c r="E25" s="29"/>
      <c r="F25" s="29"/>
      <c r="G25" s="29"/>
      <c r="I25" s="1" t="s">
        <v>19</v>
      </c>
      <c r="J25" s="19">
        <v>2.41</v>
      </c>
      <c r="K25" s="19">
        <v>5.44</v>
      </c>
      <c r="L25" s="19">
        <v>8.6300000000000008</v>
      </c>
      <c r="M25" s="19">
        <v>8</v>
      </c>
      <c r="N25" s="19">
        <v>12.46</v>
      </c>
    </row>
    <row r="26" spans="2:14" x14ac:dyDescent="0.25">
      <c r="B26" s="1"/>
      <c r="C26" s="29"/>
      <c r="D26" s="29"/>
      <c r="E26" s="29"/>
      <c r="F26" s="29"/>
      <c r="G26" s="29"/>
      <c r="I26" s="1" t="s">
        <v>115</v>
      </c>
      <c r="J26" s="19">
        <v>62.2</v>
      </c>
      <c r="K26" s="19">
        <v>42.97</v>
      </c>
      <c r="L26" s="19">
        <v>97.1</v>
      </c>
      <c r="M26" s="19">
        <v>158.55000000000001</v>
      </c>
      <c r="N26" s="19">
        <v>141.9</v>
      </c>
    </row>
    <row r="27" spans="2:14" x14ac:dyDescent="0.25">
      <c r="B27" s="5"/>
      <c r="C27" s="6"/>
      <c r="D27" s="6"/>
      <c r="E27" s="6"/>
      <c r="F27" s="6"/>
      <c r="G27" s="6"/>
      <c r="I27" s="1" t="s">
        <v>45</v>
      </c>
      <c r="J27" s="19">
        <v>11.73</v>
      </c>
      <c r="K27" s="19">
        <v>0.26</v>
      </c>
      <c r="L27" s="19">
        <v>15.12</v>
      </c>
      <c r="M27" s="19">
        <v>5.97</v>
      </c>
      <c r="N27" s="19">
        <v>83.18</v>
      </c>
    </row>
    <row r="28" spans="2:14" x14ac:dyDescent="0.25">
      <c r="B28" s="5" t="s">
        <v>64</v>
      </c>
      <c r="C28" s="18">
        <f>C24+C27</f>
        <v>189.82000000000087</v>
      </c>
      <c r="D28" s="18">
        <f>D24+D27</f>
        <v>448.47000000000014</v>
      </c>
      <c r="E28" s="18">
        <f>E24+E27</f>
        <v>906.42999999999984</v>
      </c>
      <c r="F28" s="18">
        <f>F24+F27</f>
        <v>1221.8499999999995</v>
      </c>
      <c r="G28" s="18">
        <f>G24+G27</f>
        <v>384.96000000000072</v>
      </c>
      <c r="I28" s="5" t="s">
        <v>20</v>
      </c>
      <c r="J28" s="18">
        <f>SUM(J19:J27)</f>
        <v>630.14</v>
      </c>
      <c r="K28" s="18">
        <f>SUM(K19:K27)</f>
        <v>866.80000000000007</v>
      </c>
      <c r="L28" s="18">
        <f>SUM(L19:L27)</f>
        <v>1523.9199999999998</v>
      </c>
      <c r="M28" s="18">
        <f>SUM(M19:M27)</f>
        <v>1985.8999999999999</v>
      </c>
      <c r="N28" s="18">
        <f>SUM(N19:N27)</f>
        <v>2251.29</v>
      </c>
    </row>
    <row r="29" spans="2:14" x14ac:dyDescent="0.25">
      <c r="B29" s="25" t="s">
        <v>65</v>
      </c>
      <c r="C29" s="21">
        <f>IF(C28/C5&gt;100%,"N.A.",IF(C28/C5&lt;-100%,"N.A.",(C28/C5)))</f>
        <v>3.9079243449563823E-2</v>
      </c>
      <c r="D29" s="21">
        <f>IF(D28/D5&gt;100%,"N.A.",IF(D28/D5&lt;-100%,"N.A.",(D28/D5)))</f>
        <v>5.7085358821709946E-2</v>
      </c>
      <c r="E29" s="21">
        <f>IF(E28/E5&gt;100%,"N.A.",IF(E28/E5&lt;-100%,"N.A.",(E28/E5)))</f>
        <v>7.757847456872792E-2</v>
      </c>
      <c r="F29" s="21">
        <f>IF(F28/F5&gt;100%,"N.A.",IF(F28/F5&lt;-100%,"N.A.",(F28/F5)))</f>
        <v>8.29010798139585E-2</v>
      </c>
      <c r="G29" s="21">
        <f>IF(G28/G5&gt;100%,"N.A.",IF(G28/G5&lt;-100%,"N.A.",(G28/G5)))</f>
        <v>6.5089477742158147E-2</v>
      </c>
      <c r="I29" s="3" t="s">
        <v>21</v>
      </c>
      <c r="J29" s="19"/>
      <c r="K29" s="19"/>
      <c r="L29" s="19"/>
      <c r="M29" s="19"/>
      <c r="N29" s="19"/>
    </row>
    <row r="30" spans="2:14" x14ac:dyDescent="0.25">
      <c r="B30" s="25" t="s">
        <v>48</v>
      </c>
      <c r="C30" s="20"/>
      <c r="D30" s="20" t="str">
        <f t="shared" ref="D30" si="2">IF(D28/C28-1&gt;100%,"N.A.",IF(D28/C28-1&lt;-100%,"N.A.",D28/C28-1))</f>
        <v>N.A.</v>
      </c>
      <c r="E30" s="20" t="str">
        <f>IF(E28/D28-1&gt;100%,"N.A.",IF(E28/D28-1&lt;-100%,"N.A.",E28/D28-1))</f>
        <v>N.A.</v>
      </c>
      <c r="F30" s="20">
        <f>IF(F28/E28-1&gt;100%,"N.A.",IF(F28/E28-1&lt;-100%,"N.A.",F28/E28-1))</f>
        <v>0.34798053903776327</v>
      </c>
      <c r="G30" s="42">
        <v>0</v>
      </c>
      <c r="I30" s="1" t="s">
        <v>23</v>
      </c>
      <c r="J30" s="19">
        <v>1053.3800000000001</v>
      </c>
      <c r="K30" s="19">
        <v>1768.13</v>
      </c>
      <c r="L30" s="19">
        <v>3125.5</v>
      </c>
      <c r="M30" s="19">
        <v>4601.4399999999996</v>
      </c>
      <c r="N30" s="19">
        <v>6081.23</v>
      </c>
    </row>
    <row r="31" spans="2:14" x14ac:dyDescent="0.25">
      <c r="B31" s="25" t="s">
        <v>57</v>
      </c>
      <c r="C31" s="20"/>
      <c r="D31" s="20"/>
      <c r="E31" s="20"/>
      <c r="F31" s="20">
        <f>IF((F28/C28)^(1/3)-1&lt;-100%,"N.A.",IF((F28/C28)^(1/3)-1&gt;100%,"N.A.",((F28/C28)^(1/3)-1)))</f>
        <v>0.86019572242871067</v>
      </c>
      <c r="G31" s="42">
        <v>0</v>
      </c>
      <c r="I31" s="1" t="s">
        <v>24</v>
      </c>
      <c r="J31" s="19"/>
      <c r="K31" s="19"/>
      <c r="L31" s="19"/>
      <c r="M31" s="19"/>
      <c r="N31" s="19"/>
    </row>
    <row r="32" spans="2:14" x14ac:dyDescent="0.25">
      <c r="B32" s="46" t="s">
        <v>126</v>
      </c>
      <c r="C32" s="19">
        <v>1.1299999999999999</v>
      </c>
      <c r="D32" s="19">
        <v>2.29</v>
      </c>
      <c r="E32" s="19">
        <v>6.74</v>
      </c>
      <c r="F32" s="19">
        <v>0.30000000000000027</v>
      </c>
      <c r="G32" s="19">
        <v>-1.61</v>
      </c>
      <c r="I32" s="1" t="s">
        <v>116</v>
      </c>
      <c r="J32" s="19">
        <v>1000.9</v>
      </c>
      <c r="K32" s="19">
        <v>1168.69</v>
      </c>
      <c r="L32" s="19">
        <v>1977.4</v>
      </c>
      <c r="M32" s="19">
        <v>6702.28</v>
      </c>
      <c r="N32" s="19">
        <v>8526.4599999999991</v>
      </c>
    </row>
    <row r="33" spans="2:14" x14ac:dyDescent="0.25">
      <c r="B33" s="1"/>
      <c r="C33" s="1"/>
      <c r="D33" s="1"/>
      <c r="E33" s="1"/>
      <c r="F33" s="1"/>
      <c r="G33" s="1"/>
      <c r="I33" s="1" t="s">
        <v>117</v>
      </c>
      <c r="J33" s="19">
        <v>44.89</v>
      </c>
      <c r="K33" s="19">
        <v>131.91</v>
      </c>
      <c r="L33" s="19">
        <v>150.01</v>
      </c>
      <c r="M33" s="19">
        <v>530.85</v>
      </c>
      <c r="N33" s="19">
        <v>247.92</v>
      </c>
    </row>
    <row r="34" spans="2:14" x14ac:dyDescent="0.25">
      <c r="B34" s="5" t="s">
        <v>66</v>
      </c>
      <c r="C34" s="32">
        <f>C28+C32</f>
        <v>190.95000000000087</v>
      </c>
      <c r="D34" s="32">
        <f>D28+D32</f>
        <v>450.76000000000016</v>
      </c>
      <c r="E34" s="32">
        <f>E28+E32</f>
        <v>913.16999999999985</v>
      </c>
      <c r="F34" s="32">
        <f>F28+F32</f>
        <v>1222.1499999999994</v>
      </c>
      <c r="G34" s="32">
        <f>G28+G32</f>
        <v>383.3500000000007</v>
      </c>
      <c r="I34" s="1" t="s">
        <v>118</v>
      </c>
      <c r="J34" s="19">
        <v>232.78</v>
      </c>
      <c r="K34" s="19">
        <v>254.88</v>
      </c>
      <c r="L34" s="19">
        <v>549.5</v>
      </c>
      <c r="M34" s="19">
        <v>376.13</v>
      </c>
      <c r="N34" s="19">
        <v>519.04</v>
      </c>
    </row>
    <row r="35" spans="2:14" x14ac:dyDescent="0.25">
      <c r="B35" s="25" t="s">
        <v>48</v>
      </c>
      <c r="C35" s="21"/>
      <c r="D35" s="20" t="str">
        <f>IF(D34/C34-1&gt;100%,"N.A.",IF(D34/C34-1&lt;-100%,"N.A.",(D34/C34-1)))</f>
        <v>N.A.</v>
      </c>
      <c r="E35" s="20" t="str">
        <f>IF(E34/D34-1&gt;100%,"N.A.",IF(E34/D34-1&lt;-100%,"N.A.",(E34/D34-1)))</f>
        <v>N.A.</v>
      </c>
      <c r="F35" s="21">
        <f>IF(F34/E34-1&gt;100%,"N.A.",IF(F34/E34-1&lt;-100%,"N.A.",(F34/E34-1)))</f>
        <v>0.3383597796686264</v>
      </c>
      <c r="G35" s="43">
        <v>0</v>
      </c>
      <c r="I35" s="1" t="s">
        <v>119</v>
      </c>
      <c r="J35" s="19">
        <v>1.79</v>
      </c>
      <c r="K35" s="19">
        <v>17.22</v>
      </c>
      <c r="L35" s="19">
        <v>89.73</v>
      </c>
      <c r="M35" s="19">
        <v>28.11</v>
      </c>
      <c r="N35" s="19">
        <v>33.299999999999997</v>
      </c>
    </row>
    <row r="36" spans="2:14" x14ac:dyDescent="0.25">
      <c r="B36" s="25" t="s">
        <v>57</v>
      </c>
      <c r="C36" s="21"/>
      <c r="D36" s="21"/>
      <c r="E36" s="21"/>
      <c r="F36" s="20">
        <f>IF((F34/C34)^(1/3)-1&lt;-100%,"N.A.",IF((F34/C34)^(1/3)-1&gt;100%,"N.A.",((F34/C34)^(1/3)-1)))</f>
        <v>0.85667098175345457</v>
      </c>
      <c r="G36" s="42">
        <v>0</v>
      </c>
      <c r="I36" s="1" t="s">
        <v>120</v>
      </c>
      <c r="J36" s="19">
        <v>75.98</v>
      </c>
      <c r="K36" s="19">
        <v>80.19</v>
      </c>
      <c r="L36" s="19">
        <v>104.55</v>
      </c>
      <c r="M36" s="19">
        <v>59.41</v>
      </c>
      <c r="N36" s="19">
        <v>157.59</v>
      </c>
    </row>
    <row r="37" spans="2:14" x14ac:dyDescent="0.25">
      <c r="B37" s="1" t="s">
        <v>69</v>
      </c>
      <c r="C37" s="27"/>
      <c r="D37" s="27"/>
      <c r="E37" s="27"/>
      <c r="F37" s="27"/>
      <c r="G37" s="27"/>
      <c r="I37" s="1" t="s">
        <v>111</v>
      </c>
      <c r="J37" s="19">
        <v>32.71</v>
      </c>
      <c r="K37" s="19">
        <v>80.08</v>
      </c>
      <c r="L37" s="19">
        <v>84.92</v>
      </c>
      <c r="M37" s="19">
        <v>44</v>
      </c>
      <c r="N37" s="19">
        <v>47.43</v>
      </c>
    </row>
    <row r="38" spans="2:14" x14ac:dyDescent="0.25">
      <c r="B38" s="33" t="s">
        <v>67</v>
      </c>
      <c r="C38" s="19">
        <v>2.25</v>
      </c>
      <c r="D38" s="19">
        <v>5.31</v>
      </c>
      <c r="E38" s="19">
        <v>10.41</v>
      </c>
      <c r="F38" s="19">
        <v>10.95</v>
      </c>
      <c r="G38" s="19">
        <v>3.09</v>
      </c>
      <c r="I38" s="1" t="s">
        <v>110</v>
      </c>
      <c r="J38" s="19">
        <v>237.88</v>
      </c>
      <c r="K38" s="19">
        <v>610.22</v>
      </c>
      <c r="L38" s="19">
        <v>649.29999999999995</v>
      </c>
      <c r="M38" s="19">
        <v>1090.18</v>
      </c>
      <c r="N38" s="19">
        <v>1175.24</v>
      </c>
    </row>
    <row r="39" spans="2:14" x14ac:dyDescent="0.25">
      <c r="B39" s="33" t="s">
        <v>68</v>
      </c>
      <c r="C39" s="19">
        <v>2.25</v>
      </c>
      <c r="D39" s="19">
        <v>5.31</v>
      </c>
      <c r="E39" s="19">
        <v>10.41</v>
      </c>
      <c r="F39" s="19">
        <v>10.95</v>
      </c>
      <c r="G39" s="19">
        <v>3.09</v>
      </c>
      <c r="I39" s="5" t="s">
        <v>25</v>
      </c>
      <c r="J39" s="18">
        <f>SUM(J30:J38)</f>
        <v>2680.3100000000004</v>
      </c>
      <c r="K39" s="18">
        <f>SUM(K30:K38)</f>
        <v>4111.32</v>
      </c>
      <c r="L39" s="18">
        <f>SUM(L30:L38)</f>
        <v>6730.91</v>
      </c>
      <c r="M39" s="18">
        <f>SUM(M30:M38)</f>
        <v>13432.4</v>
      </c>
      <c r="N39" s="18">
        <f>SUM(N30:N38)</f>
        <v>16788.21</v>
      </c>
    </row>
    <row r="40" spans="2:14" x14ac:dyDescent="0.25">
      <c r="B40" s="25" t="s">
        <v>48</v>
      </c>
      <c r="C40" s="20"/>
      <c r="D40" s="20" t="str">
        <f>IF(D39/C39-1&gt;100%,"N.A.",IF(D39/C39-1&lt;-100%,"N.A.",(D39/C39-1)))</f>
        <v>N.A.</v>
      </c>
      <c r="E40" s="20">
        <f>IF(E39/D39-1&gt;100%,"N.A.",IF(E39/D39-1&lt;-100%,"N.A.",(E39/D39-1)))</f>
        <v>0.9604519774011302</v>
      </c>
      <c r="F40" s="20">
        <f>IF(F39/E39-1&gt;100%,"N.A.",IF(F39/E39-1&lt;-100%,"N.A.",(F39/E39-1)))</f>
        <v>5.187319884726227E-2</v>
      </c>
      <c r="G40" s="42">
        <v>0</v>
      </c>
      <c r="I40" s="3" t="s">
        <v>26</v>
      </c>
      <c r="J40" s="35"/>
      <c r="K40" s="35"/>
      <c r="L40" s="35"/>
      <c r="M40" s="35"/>
      <c r="N40" s="35"/>
    </row>
    <row r="41" spans="2:14" x14ac:dyDescent="0.25">
      <c r="B41" s="25" t="s">
        <v>57</v>
      </c>
      <c r="C41" s="21"/>
      <c r="D41" s="20"/>
      <c r="E41" s="21"/>
      <c r="F41" s="20">
        <f>IF((F39/C39)^(1/3)-1&lt;-100%,"N.A.",IF((F39/C39)^(1/3)-1&gt;100%,"N.A.",((F39/C39)^(1/3)-1)))</f>
        <v>0.69463901336053713</v>
      </c>
      <c r="G41" s="42">
        <v>0</v>
      </c>
      <c r="I41" s="1" t="s">
        <v>27</v>
      </c>
      <c r="J41" s="35"/>
      <c r="K41" s="35"/>
      <c r="L41" s="35"/>
      <c r="M41" s="35"/>
      <c r="N41" s="35"/>
    </row>
    <row r="42" spans="2:14" ht="13.5" customHeight="1" x14ac:dyDescent="0.25">
      <c r="F42" s="4"/>
      <c r="I42" s="1" t="s">
        <v>28</v>
      </c>
      <c r="J42" s="19">
        <v>190.56</v>
      </c>
      <c r="K42" s="19">
        <v>418.62</v>
      </c>
      <c r="L42" s="19">
        <v>602.97</v>
      </c>
      <c r="M42" s="19">
        <v>250.25</v>
      </c>
      <c r="N42" s="19">
        <v>667.8</v>
      </c>
    </row>
    <row r="43" spans="2:14" x14ac:dyDescent="0.25">
      <c r="B43" s="7" t="s">
        <v>79</v>
      </c>
      <c r="C43" s="47" t="s">
        <v>1</v>
      </c>
      <c r="D43" s="47" t="s">
        <v>2</v>
      </c>
      <c r="E43" s="47" t="s">
        <v>3</v>
      </c>
      <c r="F43" s="47" t="s">
        <v>113</v>
      </c>
      <c r="G43" s="47" t="s">
        <v>124</v>
      </c>
      <c r="I43" s="1" t="s">
        <v>29</v>
      </c>
      <c r="J43" s="19">
        <v>6.48</v>
      </c>
      <c r="K43" s="19">
        <v>9.7899999999999991</v>
      </c>
      <c r="L43" s="19">
        <v>9.1</v>
      </c>
      <c r="M43" s="19">
        <v>15.78</v>
      </c>
      <c r="N43" s="19">
        <v>22.53</v>
      </c>
    </row>
    <row r="44" spans="2:14" x14ac:dyDescent="0.25">
      <c r="B44" s="3" t="s">
        <v>74</v>
      </c>
      <c r="C44" s="19">
        <v>39.67</v>
      </c>
      <c r="D44" s="19">
        <f>C49</f>
        <v>44.890000000000029</v>
      </c>
      <c r="E44" s="19">
        <f t="shared" ref="E44:G44" si="3">D49</f>
        <v>131.91000000000008</v>
      </c>
      <c r="F44" s="19">
        <f t="shared" si="3"/>
        <v>150.01000000000022</v>
      </c>
      <c r="G44" s="19">
        <f t="shared" si="3"/>
        <v>530.85000000000036</v>
      </c>
      <c r="I44" s="1" t="s">
        <v>30</v>
      </c>
      <c r="J44" s="31">
        <v>21.56</v>
      </c>
      <c r="K44" s="19">
        <v>22.77</v>
      </c>
      <c r="L44" s="19">
        <v>31.82</v>
      </c>
      <c r="M44" s="19">
        <v>34.75</v>
      </c>
      <c r="N44" s="19">
        <v>29.39</v>
      </c>
    </row>
    <row r="45" spans="2:14" x14ac:dyDescent="0.25">
      <c r="B45" s="33" t="s">
        <v>70</v>
      </c>
      <c r="C45" s="19">
        <v>348.39</v>
      </c>
      <c r="D45" s="19">
        <v>-33.270000000000003</v>
      </c>
      <c r="E45" s="19">
        <v>-84.06</v>
      </c>
      <c r="F45" s="19">
        <v>-3162.35</v>
      </c>
      <c r="G45" s="19">
        <v>-1311.53</v>
      </c>
      <c r="I45" s="5" t="s">
        <v>31</v>
      </c>
      <c r="J45" s="18">
        <f>SUM(J42:J44)</f>
        <v>218.6</v>
      </c>
      <c r="K45" s="18">
        <f>SUM(K42:K44)</f>
        <v>451.18</v>
      </c>
      <c r="L45" s="18">
        <f>SUM(L42:L44)</f>
        <v>643.8900000000001</v>
      </c>
      <c r="M45" s="18">
        <f>SUM(M42:M44)</f>
        <v>300.77999999999997</v>
      </c>
      <c r="N45" s="18">
        <f>SUM(N42:N44)</f>
        <v>719.71999999999991</v>
      </c>
    </row>
    <row r="46" spans="2:14" x14ac:dyDescent="0.25">
      <c r="B46" s="33" t="s">
        <v>71</v>
      </c>
      <c r="C46" s="19">
        <v>-53.4</v>
      </c>
      <c r="D46" s="19">
        <v>-296.93</v>
      </c>
      <c r="E46" s="19">
        <v>-978.52</v>
      </c>
      <c r="F46" s="19">
        <v>-321.89999999999998</v>
      </c>
      <c r="G46" s="19">
        <v>-359.19</v>
      </c>
      <c r="I46" s="3" t="s">
        <v>32</v>
      </c>
      <c r="J46" s="19"/>
      <c r="K46" s="19"/>
      <c r="L46" s="19"/>
      <c r="M46" s="19"/>
      <c r="N46" s="19"/>
    </row>
    <row r="47" spans="2:14" x14ac:dyDescent="0.25">
      <c r="B47" s="33" t="s">
        <v>72</v>
      </c>
      <c r="C47" s="19">
        <v>-289.77</v>
      </c>
      <c r="D47" s="19">
        <v>417.22</v>
      </c>
      <c r="E47" s="19">
        <v>1080.68</v>
      </c>
      <c r="F47" s="19">
        <v>3865.09</v>
      </c>
      <c r="G47" s="19">
        <v>1387.79</v>
      </c>
      <c r="I47" s="1" t="s">
        <v>27</v>
      </c>
      <c r="J47" s="19"/>
      <c r="K47" s="19"/>
      <c r="L47" s="19"/>
      <c r="M47" s="19"/>
      <c r="N47" s="19"/>
    </row>
    <row r="48" spans="2:14" x14ac:dyDescent="0.25">
      <c r="B48" s="17" t="s">
        <v>114</v>
      </c>
      <c r="C48" s="34">
        <f>SUM(C45:C47)</f>
        <v>5.2200000000000273</v>
      </c>
      <c r="D48" s="34">
        <f t="shared" ref="D48:F48" si="4">SUM(D45:D47)</f>
        <v>87.020000000000039</v>
      </c>
      <c r="E48" s="34">
        <f t="shared" si="4"/>
        <v>18.100000000000136</v>
      </c>
      <c r="F48" s="34">
        <f t="shared" si="4"/>
        <v>380.84000000000015</v>
      </c>
      <c r="G48" s="34">
        <f>SUM(G45:G47)</f>
        <v>-282.93000000000006</v>
      </c>
      <c r="I48" s="1" t="s">
        <v>28</v>
      </c>
      <c r="J48" s="19">
        <v>917.26</v>
      </c>
      <c r="K48" s="19">
        <v>1347.15</v>
      </c>
      <c r="L48" s="19">
        <f>L11</f>
        <v>1900.77</v>
      </c>
      <c r="M48" s="19">
        <v>3704.92</v>
      </c>
      <c r="N48" s="19">
        <v>4955.5200000000004</v>
      </c>
    </row>
    <row r="49" spans="2:16" x14ac:dyDescent="0.25">
      <c r="B49" s="36" t="s">
        <v>73</v>
      </c>
      <c r="C49" s="18">
        <f>C44+C48</f>
        <v>44.890000000000029</v>
      </c>
      <c r="D49" s="18">
        <f t="shared" ref="D49:E49" si="5">D44+D48</f>
        <v>131.91000000000008</v>
      </c>
      <c r="E49" s="18">
        <f t="shared" si="5"/>
        <v>150.01000000000022</v>
      </c>
      <c r="F49" s="18">
        <f>F44+F48</f>
        <v>530.85000000000036</v>
      </c>
      <c r="G49" s="18">
        <f>G44+G48</f>
        <v>247.9200000000003</v>
      </c>
      <c r="I49" s="1" t="s">
        <v>33</v>
      </c>
      <c r="J49" s="19"/>
      <c r="K49" s="19"/>
      <c r="L49" s="19"/>
      <c r="M49" s="19"/>
      <c r="N49" s="19"/>
    </row>
    <row r="50" spans="2:16" x14ac:dyDescent="0.25">
      <c r="I50" s="1" t="s">
        <v>34</v>
      </c>
      <c r="J50" s="19">
        <v>315.27</v>
      </c>
      <c r="K50" s="31">
        <v>101.69</v>
      </c>
      <c r="L50" s="19">
        <v>291.91000000000003</v>
      </c>
      <c r="M50" s="19">
        <v>569.88</v>
      </c>
      <c r="N50" s="19">
        <v>367.79</v>
      </c>
    </row>
    <row r="51" spans="2:16" ht="30" x14ac:dyDescent="0.25">
      <c r="B51" s="7" t="s">
        <v>78</v>
      </c>
      <c r="C51" s="47" t="s">
        <v>1</v>
      </c>
      <c r="D51" s="48" t="s">
        <v>2</v>
      </c>
      <c r="E51" s="47" t="s">
        <v>3</v>
      </c>
      <c r="F51" s="47" t="s">
        <v>113</v>
      </c>
      <c r="G51" s="47" t="s">
        <v>124</v>
      </c>
      <c r="I51" s="2" t="s">
        <v>35</v>
      </c>
      <c r="J51" s="19">
        <v>625.84</v>
      </c>
      <c r="K51" s="19">
        <v>1079.67</v>
      </c>
      <c r="L51" s="19">
        <v>1770.11</v>
      </c>
      <c r="M51" s="19">
        <v>2821.03</v>
      </c>
      <c r="N51" s="19">
        <v>4393.38</v>
      </c>
    </row>
    <row r="52" spans="2:16" x14ac:dyDescent="0.25">
      <c r="B52" s="1" t="s">
        <v>75</v>
      </c>
      <c r="C52" s="19">
        <f>C45</f>
        <v>348.39</v>
      </c>
      <c r="D52" s="19">
        <f>D45</f>
        <v>-33.270000000000003</v>
      </c>
      <c r="E52" s="19">
        <f t="shared" ref="E52" si="6">E45</f>
        <v>-84.06</v>
      </c>
      <c r="F52" s="19">
        <f>F45</f>
        <v>-3162.35</v>
      </c>
      <c r="G52" s="19">
        <f>G45</f>
        <v>-1311.53</v>
      </c>
      <c r="I52" s="1" t="s">
        <v>46</v>
      </c>
      <c r="J52" s="19">
        <v>69.010000000000005</v>
      </c>
      <c r="K52" s="19">
        <v>123.47</v>
      </c>
      <c r="L52" s="19">
        <v>91.12</v>
      </c>
      <c r="M52" s="19">
        <v>41.28</v>
      </c>
      <c r="N52" s="19">
        <v>81.819999999999993</v>
      </c>
    </row>
    <row r="53" spans="2:16" x14ac:dyDescent="0.25">
      <c r="B53" s="1" t="s">
        <v>76</v>
      </c>
      <c r="C53" s="19">
        <v>-42.21</v>
      </c>
      <c r="D53" s="19">
        <v>-280.08</v>
      </c>
      <c r="E53" s="19">
        <v>-654.13</v>
      </c>
      <c r="F53" s="30">
        <v>520</v>
      </c>
      <c r="G53" s="30">
        <f>-268.13+0.14</f>
        <v>-267.99</v>
      </c>
      <c r="I53" s="1" t="s">
        <v>36</v>
      </c>
      <c r="J53" s="19">
        <v>27.35</v>
      </c>
      <c r="K53" s="19">
        <v>287.77999999999997</v>
      </c>
      <c r="L53" s="30">
        <v>350.22</v>
      </c>
      <c r="M53" s="19">
        <v>679.71</v>
      </c>
      <c r="N53" s="19">
        <v>811.98</v>
      </c>
    </row>
    <row r="54" spans="2:16" x14ac:dyDescent="0.25">
      <c r="B54" s="5" t="s">
        <v>77</v>
      </c>
      <c r="C54" s="18">
        <f>C52+C53</f>
        <v>306.18</v>
      </c>
      <c r="D54" s="18">
        <f>D52+D53</f>
        <v>-313.34999999999997</v>
      </c>
      <c r="E54" s="18">
        <f>E52+E53</f>
        <v>-738.19</v>
      </c>
      <c r="F54" s="18">
        <f>F52+F53</f>
        <v>-2642.35</v>
      </c>
      <c r="G54" s="18">
        <f>G52+G53</f>
        <v>-1579.52</v>
      </c>
      <c r="I54" s="1" t="s">
        <v>37</v>
      </c>
      <c r="J54" s="19">
        <v>0.98</v>
      </c>
      <c r="K54" s="19">
        <v>0.28000000000000003</v>
      </c>
      <c r="L54" s="19">
        <v>0.33</v>
      </c>
      <c r="M54" s="19">
        <v>2.62</v>
      </c>
      <c r="N54" s="19">
        <v>4.37</v>
      </c>
    </row>
    <row r="55" spans="2:16" x14ac:dyDescent="0.25">
      <c r="I55" s="1" t="s">
        <v>125</v>
      </c>
      <c r="J55" s="31">
        <v>0</v>
      </c>
      <c r="K55" s="19">
        <v>0</v>
      </c>
      <c r="L55" s="31">
        <v>61.41</v>
      </c>
      <c r="M55" s="31">
        <v>87.44</v>
      </c>
      <c r="N55" s="31">
        <v>110.92</v>
      </c>
    </row>
    <row r="56" spans="2:16" x14ac:dyDescent="0.25">
      <c r="B56" s="7" t="s">
        <v>97</v>
      </c>
      <c r="C56" s="47" t="s">
        <v>1</v>
      </c>
      <c r="D56" s="47" t="s">
        <v>2</v>
      </c>
      <c r="E56" s="47" t="s">
        <v>3</v>
      </c>
      <c r="F56" s="47" t="s">
        <v>113</v>
      </c>
      <c r="G56" s="47" t="s">
        <v>124</v>
      </c>
      <c r="I56" s="5" t="s">
        <v>38</v>
      </c>
      <c r="J56" s="18">
        <f>SUM(J48:J55)</f>
        <v>1955.7099999999998</v>
      </c>
      <c r="K56" s="18">
        <f>SUM(K48:K55)</f>
        <v>2940.0400000000004</v>
      </c>
      <c r="L56" s="18">
        <f>SUM(L48:L55)</f>
        <v>4465.87</v>
      </c>
      <c r="M56" s="18">
        <f>SUM(M48:M55)</f>
        <v>7906.8799999999992</v>
      </c>
      <c r="N56" s="18">
        <f>SUM(N48:N55)</f>
        <v>10725.78</v>
      </c>
    </row>
    <row r="57" spans="2:16" x14ac:dyDescent="0.25">
      <c r="B57" s="1" t="s">
        <v>100</v>
      </c>
      <c r="C57" s="19">
        <v>28.148</v>
      </c>
      <c r="D57" s="19">
        <v>28.148</v>
      </c>
      <c r="E57" s="19">
        <v>93.444000000000003</v>
      </c>
      <c r="F57" s="19">
        <v>124.64400000000001</v>
      </c>
      <c r="G57" s="19">
        <v>124.64400000000001</v>
      </c>
    </row>
    <row r="58" spans="2:16" x14ac:dyDescent="0.25">
      <c r="B58" s="1" t="s">
        <v>99</v>
      </c>
      <c r="C58" s="19">
        <v>10</v>
      </c>
      <c r="D58" s="19">
        <v>10</v>
      </c>
      <c r="E58" s="19">
        <v>10</v>
      </c>
      <c r="F58" s="19">
        <v>10</v>
      </c>
      <c r="G58" s="19">
        <v>10</v>
      </c>
      <c r="I58" s="5" t="s">
        <v>39</v>
      </c>
      <c r="J58" s="32">
        <f>J39-J56</f>
        <v>724.60000000000059</v>
      </c>
      <c r="K58" s="32">
        <f>K39-K56</f>
        <v>1171.2799999999993</v>
      </c>
      <c r="L58" s="32">
        <f>L39-L56</f>
        <v>2265.04</v>
      </c>
      <c r="M58" s="32">
        <f>M39-M56</f>
        <v>5525.52</v>
      </c>
      <c r="N58" s="32">
        <f>N39-N56</f>
        <v>6062.4299999999985</v>
      </c>
    </row>
    <row r="59" spans="2:16" x14ac:dyDescent="0.25">
      <c r="B59" s="1" t="s">
        <v>98</v>
      </c>
      <c r="C59" s="19">
        <f>J65*C57</f>
        <v>0</v>
      </c>
      <c r="D59" s="19">
        <f>K65*D57</f>
        <v>0</v>
      </c>
      <c r="E59" s="19">
        <f>L65*E57</f>
        <v>0</v>
      </c>
      <c r="F59" s="19">
        <f>M65*F57</f>
        <v>18684.135600000001</v>
      </c>
      <c r="G59" s="19">
        <f>N65*G57</f>
        <v>31647.111600000004</v>
      </c>
      <c r="I59" s="1"/>
      <c r="J59" s="27"/>
      <c r="K59" s="27"/>
      <c r="L59" s="27"/>
      <c r="M59" s="27"/>
      <c r="N59" s="27"/>
    </row>
    <row r="60" spans="2:16" x14ac:dyDescent="0.25">
      <c r="B60" s="1" t="s">
        <v>80</v>
      </c>
      <c r="C60" s="19">
        <f>J12</f>
        <v>1107.82</v>
      </c>
      <c r="D60" s="19">
        <f>K12</f>
        <v>1765.77</v>
      </c>
      <c r="E60" s="19">
        <f>L12</f>
        <v>2503.7399999999998</v>
      </c>
      <c r="F60" s="19">
        <f>M12</f>
        <v>3955.17</v>
      </c>
      <c r="G60" s="19">
        <f>N12</f>
        <v>5623.3200000000006</v>
      </c>
      <c r="I60" s="5" t="s">
        <v>40</v>
      </c>
      <c r="J60" s="32">
        <f>J39+J28</f>
        <v>3310.4500000000003</v>
      </c>
      <c r="K60" s="32">
        <f>K39+K28</f>
        <v>4978.12</v>
      </c>
      <c r="L60" s="32">
        <f>L39+L28</f>
        <v>8254.83</v>
      </c>
      <c r="M60" s="32">
        <f>M39+M28</f>
        <v>15418.3</v>
      </c>
      <c r="N60" s="32">
        <f>N39+N28</f>
        <v>19039.5</v>
      </c>
      <c r="O60" s="4"/>
      <c r="P60" s="4"/>
    </row>
    <row r="61" spans="2:16" x14ac:dyDescent="0.25">
      <c r="B61" s="8" t="s">
        <v>81</v>
      </c>
      <c r="C61" s="19">
        <f>J33+J34</f>
        <v>277.67</v>
      </c>
      <c r="D61" s="19">
        <f>K33+K34</f>
        <v>386.78999999999996</v>
      </c>
      <c r="E61" s="19">
        <f>L33+L34</f>
        <v>699.51</v>
      </c>
      <c r="F61" s="19">
        <f>M33+M34</f>
        <v>906.98</v>
      </c>
      <c r="G61" s="19">
        <f>N33+N34</f>
        <v>766.95999999999992</v>
      </c>
      <c r="I61" s="5" t="s">
        <v>41</v>
      </c>
      <c r="J61" s="32">
        <f>J45+J56-J49</f>
        <v>2174.31</v>
      </c>
      <c r="K61" s="32">
        <f t="shared" ref="K61:L61" si="7">K45+K56-K49</f>
        <v>3391.2200000000003</v>
      </c>
      <c r="L61" s="32">
        <f t="shared" si="7"/>
        <v>5109.76</v>
      </c>
      <c r="M61" s="32">
        <f>M45+M56-M49</f>
        <v>8207.66</v>
      </c>
      <c r="N61" s="32">
        <f>N45+N56-N49</f>
        <v>11445.5</v>
      </c>
    </row>
    <row r="62" spans="2:16" x14ac:dyDescent="0.25">
      <c r="B62" s="5" t="s">
        <v>82</v>
      </c>
      <c r="C62" s="40" t="s">
        <v>101</v>
      </c>
      <c r="D62" s="40" t="s">
        <v>101</v>
      </c>
      <c r="E62" s="40" t="s">
        <v>101</v>
      </c>
      <c r="F62" s="18">
        <f>SUM(F59:F60)-F61</f>
        <v>21732.3256</v>
      </c>
      <c r="G62" s="18">
        <f>SUM(G59:G60)-G61</f>
        <v>36503.471600000004</v>
      </c>
      <c r="I62" s="5" t="s">
        <v>42</v>
      </c>
      <c r="J62" s="32">
        <f>J61+J7+J9</f>
        <v>3310.45</v>
      </c>
      <c r="K62" s="32">
        <f>K61+K7+K9</f>
        <v>4978.1200000000008</v>
      </c>
      <c r="L62" s="32">
        <f>L61+L7+L9</f>
        <v>8254.83</v>
      </c>
      <c r="M62" s="32">
        <f>M56+M7+M45</f>
        <v>15418.3</v>
      </c>
      <c r="N62" s="32">
        <f>N56+N7+N45</f>
        <v>19039.5</v>
      </c>
    </row>
    <row r="63" spans="2:16" x14ac:dyDescent="0.25">
      <c r="J63" s="4"/>
      <c r="K63" s="4"/>
      <c r="L63" s="4"/>
      <c r="M63" s="4"/>
    </row>
    <row r="64" spans="2:16" x14ac:dyDescent="0.25">
      <c r="I64" s="7" t="s">
        <v>106</v>
      </c>
      <c r="J64" s="47" t="s">
        <v>1</v>
      </c>
      <c r="K64" s="47" t="s">
        <v>2</v>
      </c>
      <c r="L64" s="47" t="s">
        <v>3</v>
      </c>
      <c r="M64" s="47" t="s">
        <v>113</v>
      </c>
      <c r="N64" s="47" t="s">
        <v>124</v>
      </c>
    </row>
    <row r="65" spans="9:15" x14ac:dyDescent="0.25">
      <c r="I65" s="1" t="s">
        <v>104</v>
      </c>
      <c r="J65" s="37">
        <v>0</v>
      </c>
      <c r="K65" s="37">
        <v>0</v>
      </c>
      <c r="L65" s="37">
        <v>0</v>
      </c>
      <c r="M65" s="38">
        <v>149.9</v>
      </c>
      <c r="N65" s="38">
        <v>253.9</v>
      </c>
    </row>
    <row r="66" spans="9:15" x14ac:dyDescent="0.25">
      <c r="I66" s="39" t="s">
        <v>122</v>
      </c>
      <c r="J66" s="6">
        <f>C39</f>
        <v>2.25</v>
      </c>
      <c r="K66" s="6">
        <f>D39</f>
        <v>5.31</v>
      </c>
      <c r="L66" s="6">
        <f>E39</f>
        <v>10.41</v>
      </c>
      <c r="M66" s="6">
        <f>F39</f>
        <v>10.95</v>
      </c>
      <c r="N66" s="6">
        <f>M66-3.82+G39</f>
        <v>10.219999999999999</v>
      </c>
      <c r="O66" t="s">
        <v>123</v>
      </c>
    </row>
    <row r="67" spans="9:15" x14ac:dyDescent="0.25">
      <c r="I67" s="39" t="s">
        <v>102</v>
      </c>
      <c r="J67" s="6">
        <f>J8/C57</f>
        <v>40.363080858320302</v>
      </c>
      <c r="K67" s="6">
        <f>K8/D57</f>
        <v>56.377007247406567</v>
      </c>
      <c r="L67" s="6">
        <f>L8/E57</f>
        <v>33.657270664783184</v>
      </c>
      <c r="M67" s="6">
        <f>M8/F57</f>
        <v>57.849876448124249</v>
      </c>
      <c r="N67" s="6">
        <f>N8/G57</f>
        <v>60.925515869195465</v>
      </c>
    </row>
    <row r="68" spans="9:15" x14ac:dyDescent="0.25">
      <c r="I68" s="1" t="s">
        <v>103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</row>
    <row r="69" spans="9:15" x14ac:dyDescent="0.25">
      <c r="I69" s="1" t="s">
        <v>83</v>
      </c>
      <c r="J69" s="37">
        <f t="shared" ref="J69:L69" si="8">J65/J66</f>
        <v>0</v>
      </c>
      <c r="K69" s="37">
        <f t="shared" si="8"/>
        <v>0</v>
      </c>
      <c r="L69" s="37">
        <f t="shared" si="8"/>
        <v>0</v>
      </c>
      <c r="M69" s="37">
        <f>M65/M66</f>
        <v>13.689497716894978</v>
      </c>
      <c r="N69" s="37">
        <f>N65/N66</f>
        <v>24.843444227005875</v>
      </c>
    </row>
    <row r="70" spans="9:15" x14ac:dyDescent="0.25">
      <c r="I70" s="1" t="s">
        <v>84</v>
      </c>
      <c r="J70" s="37">
        <f t="shared" ref="J70:L70" si="9">J65/J67</f>
        <v>0</v>
      </c>
      <c r="K70" s="37">
        <f t="shared" si="9"/>
        <v>0</v>
      </c>
      <c r="L70" s="37">
        <f t="shared" si="9"/>
        <v>0</v>
      </c>
      <c r="M70" s="37">
        <f>M65/M67</f>
        <v>2.5911896308788127</v>
      </c>
      <c r="N70" s="37">
        <f>N65/N67</f>
        <v>4.1673836713194632</v>
      </c>
    </row>
    <row r="71" spans="9:15" x14ac:dyDescent="0.25">
      <c r="I71" s="1" t="s">
        <v>85</v>
      </c>
      <c r="J71" s="37">
        <v>0</v>
      </c>
      <c r="K71" s="37">
        <v>0</v>
      </c>
      <c r="L71" s="37">
        <v>0</v>
      </c>
      <c r="M71" s="37">
        <f>F62/F14</f>
        <v>10.354150078612609</v>
      </c>
      <c r="N71" s="37">
        <v>0</v>
      </c>
    </row>
    <row r="72" spans="9:15" x14ac:dyDescent="0.25">
      <c r="I72" s="1" t="s">
        <v>105</v>
      </c>
      <c r="J72" s="37">
        <f>C5/AVERAGE(J62:J62)</f>
        <v>1.4672657795767949</v>
      </c>
      <c r="K72" s="37">
        <f>D5/AVERAGE(J62:K62)</f>
        <v>1.8956538944594787</v>
      </c>
      <c r="L72" s="37">
        <f>E5/AVERAGE(K62:L62)</f>
        <v>1.7659010273597346</v>
      </c>
      <c r="M72" s="37">
        <f>F5/AVERAGE(L62:M62)</f>
        <v>1.2451796614980783</v>
      </c>
      <c r="N72" s="37">
        <v>0</v>
      </c>
    </row>
    <row r="73" spans="9:15" x14ac:dyDescent="0.25">
      <c r="I73" s="39" t="s">
        <v>86</v>
      </c>
      <c r="J73" s="41">
        <f>C28/J8</f>
        <v>0.16707448025771551</v>
      </c>
      <c r="K73" s="41">
        <f>D28/K8</f>
        <v>0.28260759972272992</v>
      </c>
      <c r="L73" s="41">
        <f>E28/L8</f>
        <v>0.28820662179220169</v>
      </c>
      <c r="M73" s="41">
        <f>F28/M8</f>
        <v>0.16945097799917894</v>
      </c>
      <c r="N73" s="6">
        <v>0</v>
      </c>
    </row>
    <row r="74" spans="9:15" x14ac:dyDescent="0.25">
      <c r="I74" s="39" t="s">
        <v>87</v>
      </c>
      <c r="J74" s="41">
        <f>(C21+C20)/J14</f>
        <v>0.31901324239337508</v>
      </c>
      <c r="K74" s="41">
        <f>(D21+D20)/K14</f>
        <v>0.41438020097346528</v>
      </c>
      <c r="L74" s="41">
        <f>(E21+E20)/L14</f>
        <v>0.40292586883999826</v>
      </c>
      <c r="M74" s="41">
        <f>(F21+F20)/M14</f>
        <v>0.2762407108110051</v>
      </c>
      <c r="N74" s="6">
        <v>0</v>
      </c>
    </row>
    <row r="75" spans="9:15" x14ac:dyDescent="0.25">
      <c r="I75" s="1" t="s">
        <v>88</v>
      </c>
      <c r="J75" s="37">
        <f>J12/J8</f>
        <v>0.9750734944637105</v>
      </c>
      <c r="K75" s="37">
        <f>K12/K8</f>
        <v>1.1127166173041778</v>
      </c>
      <c r="L75" s="37">
        <f>L12/L8</f>
        <v>0.79608402992620186</v>
      </c>
      <c r="M75" s="37">
        <f>M12/M8</f>
        <v>0.54851857810125038</v>
      </c>
      <c r="N75" s="37">
        <f>N12/N8</f>
        <v>0.74049512773242043</v>
      </c>
    </row>
    <row r="76" spans="9:15" x14ac:dyDescent="0.25">
      <c r="I76" s="39" t="s">
        <v>89</v>
      </c>
      <c r="J76" s="6">
        <f>(J12 -C61)/J8</f>
        <v>0.73067579699684893</v>
      </c>
      <c r="K76" s="6">
        <f>(K12 -D61)/K8</f>
        <v>0.86897725124456482</v>
      </c>
      <c r="L76" s="6">
        <f>(L12 -E61)/L8</f>
        <v>0.57366926650281225</v>
      </c>
      <c r="M76" s="6">
        <f>(M12 -F61)/M8</f>
        <v>0.42273501381292095</v>
      </c>
      <c r="N76" s="6">
        <f>(N12 -G61)/N8</f>
        <v>0.63949960495127744</v>
      </c>
    </row>
    <row r="77" spans="9:15" x14ac:dyDescent="0.25">
      <c r="I77" s="1" t="s">
        <v>90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</row>
    <row r="78" spans="9:15" x14ac:dyDescent="0.25">
      <c r="I78" s="1" t="s">
        <v>96</v>
      </c>
      <c r="J78" s="37">
        <f>(C21+C20)/C20</f>
        <v>2.4639680729760594</v>
      </c>
      <c r="K78" s="37">
        <f>(D21+D20)/D20</f>
        <v>3.508245752502805</v>
      </c>
      <c r="L78" s="37">
        <f>(E21+E20)/E20</f>
        <v>5.0505160778086537</v>
      </c>
      <c r="M78" s="37">
        <f>(F21+F20)/F20</f>
        <v>4.827958490390432</v>
      </c>
      <c r="N78" s="37">
        <f>(G21+G20)/G20</f>
        <v>2.8323583963475554</v>
      </c>
    </row>
    <row r="79" spans="9:15" x14ac:dyDescent="0.25">
      <c r="I79" s="1" t="s">
        <v>91</v>
      </c>
      <c r="J79" s="37">
        <f>AVERAGE(J32:J32)/C5*365</f>
        <v>75.212102995279267</v>
      </c>
      <c r="K79" s="37">
        <f>AVERAGE(J32:K32)/D5*365</f>
        <v>50.40015567461333</v>
      </c>
      <c r="L79" s="37">
        <f>AVERAGE(K32:L32)/E5*365</f>
        <v>49.140658967275016</v>
      </c>
      <c r="M79" s="37">
        <f>AVERAGE(L32:M32)/F5*365</f>
        <v>107.475352220183</v>
      </c>
      <c r="N79" s="37">
        <v>0</v>
      </c>
    </row>
    <row r="80" spans="9:15" x14ac:dyDescent="0.25">
      <c r="I80" s="1" t="s">
        <v>92</v>
      </c>
      <c r="J80" s="37">
        <f>(AVERAGE(SUM(J50:J51))/SUM(C8:C13))*365</f>
        <v>78.006946715354999</v>
      </c>
      <c r="K80" s="37">
        <f>(AVERAGE(SUM(K50:K51),SUM(J50:J51))/SUM(D8:D13))*365</f>
        <v>55.435133081262727</v>
      </c>
      <c r="L80" s="37">
        <f>(AVERAGE(SUM(L50:L51),SUM(K50:K51))/SUM(E8:E13))*365</f>
        <v>58.500154671626703</v>
      </c>
      <c r="M80" s="37">
        <f>(AVERAGE(SUM(M50:M51),SUM(L50:L51))/SUM(F8:F13))*365</f>
        <v>78.732548112106656</v>
      </c>
      <c r="N80" s="37">
        <v>0</v>
      </c>
    </row>
    <row r="81" spans="9:14" x14ac:dyDescent="0.25">
      <c r="I81" s="1" t="s">
        <v>93</v>
      </c>
      <c r="J81" s="37">
        <f>AVERAGE(I30:J30)/(SUM(C8:C13))*365</f>
        <v>87.312808843834034</v>
      </c>
      <c r="K81" s="37">
        <f>AVERAGE(J30:K30)/(SUM(D8:D13))*365</f>
        <v>73.692811837205511</v>
      </c>
      <c r="L81" s="37">
        <f>AVERAGE(K30:L30)/(SUM(E8:E13))*365</f>
        <v>88.265362648136374</v>
      </c>
      <c r="M81" s="37">
        <f>AVERAGE(L30:M30)/(SUM(F8:F13))*365</f>
        <v>111.566015941771</v>
      </c>
      <c r="N81" s="37">
        <v>0</v>
      </c>
    </row>
    <row r="82" spans="9:14" x14ac:dyDescent="0.25">
      <c r="I82" s="39" t="s">
        <v>94</v>
      </c>
      <c r="J82" s="6">
        <f>J81+J79-J80</f>
        <v>84.517965123758316</v>
      </c>
      <c r="K82" s="6">
        <f>K81+K79-K80</f>
        <v>68.657834430556107</v>
      </c>
      <c r="L82" s="6">
        <f>L81+L79-L80</f>
        <v>78.905866943784687</v>
      </c>
      <c r="M82" s="6">
        <f>M81+M79-M80</f>
        <v>140.30882004984733</v>
      </c>
      <c r="N82" s="6">
        <v>0</v>
      </c>
    </row>
    <row r="83" spans="9:14" x14ac:dyDescent="0.25">
      <c r="I83" s="39" t="s">
        <v>95</v>
      </c>
      <c r="J83" s="6">
        <f>(J39-J56)*365/C5</f>
        <v>54.449685113777008</v>
      </c>
      <c r="K83" s="6">
        <f>(K39-K56)*365/D5</f>
        <v>54.418295012938906</v>
      </c>
      <c r="L83" s="6">
        <f>(L39-L56)*365/E5</f>
        <v>70.758025477488943</v>
      </c>
      <c r="M83" s="6">
        <f>(M39-M56)*365/F5</f>
        <v>136.8385028479542</v>
      </c>
      <c r="N83" s="6">
        <v>0</v>
      </c>
    </row>
    <row r="84" spans="9:14" x14ac:dyDescent="0.25">
      <c r="M84" s="11"/>
      <c r="N84" s="10"/>
    </row>
    <row r="85" spans="9:14" x14ac:dyDescent="0.25">
      <c r="M85" s="9"/>
      <c r="N85" s="10"/>
    </row>
    <row r="86" spans="9:14" x14ac:dyDescent="0.25">
      <c r="M86" s="9"/>
      <c r="N86" s="10"/>
    </row>
    <row r="87" spans="9:14" x14ac:dyDescent="0.25">
      <c r="M87" s="12"/>
      <c r="N87" s="10"/>
    </row>
    <row r="88" spans="9:14" x14ac:dyDescent="0.25">
      <c r="M88" s="12"/>
      <c r="N88" s="10"/>
    </row>
    <row r="89" spans="9:14" x14ac:dyDescent="0.25">
      <c r="M89" s="9"/>
      <c r="N89" s="10"/>
    </row>
    <row r="90" spans="9:14" x14ac:dyDescent="0.25">
      <c r="M90" s="9"/>
      <c r="N90" s="10"/>
    </row>
    <row r="91" spans="9:14" x14ac:dyDescent="0.25">
      <c r="M91" s="9"/>
      <c r="N91" s="10"/>
    </row>
    <row r="92" spans="9:14" x14ac:dyDescent="0.25">
      <c r="M92" s="9"/>
      <c r="N92" s="10"/>
    </row>
    <row r="93" spans="9:14" x14ac:dyDescent="0.25">
      <c r="K93" s="15"/>
      <c r="M93" s="9"/>
    </row>
    <row r="94" spans="9:14" x14ac:dyDescent="0.25">
      <c r="M94" s="13"/>
      <c r="N94" s="9"/>
    </row>
    <row r="95" spans="9:14" x14ac:dyDescent="0.25">
      <c r="M95" s="9"/>
    </row>
  </sheetData>
  <mergeCells count="3">
    <mergeCell ref="B3:G3"/>
    <mergeCell ref="B2:N2"/>
    <mergeCell ref="I3:N3"/>
  </mergeCells>
  <pageMargins left="0.7" right="0.7" top="0.75" bottom="0.75" header="0.3" footer="0.3"/>
  <pageSetup scale="63" fitToWidth="0" orientation="portrait" r:id="rId1"/>
  <ignoredErrors>
    <ignoredError sqref="C48 K79:M81 J80 J12:N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V16</dc:creator>
  <cp:lastModifiedBy>DELL</cp:lastModifiedBy>
  <cp:lastPrinted>2023-11-24T05:57:13Z</cp:lastPrinted>
  <dcterms:created xsi:type="dcterms:W3CDTF">2023-11-23T05:15:14Z</dcterms:created>
  <dcterms:modified xsi:type="dcterms:W3CDTF">2024-11-26T07:27:38Z</dcterms:modified>
</cp:coreProperties>
</file>