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930"/>
  </bookViews>
  <sheets>
    <sheet name="Fairchem Organics Ltd." sheetId="11" r:id="rId1"/>
    <sheet name="Sheet3" sheetId="14" state="hidden" r:id="rId2"/>
    <sheet name="Sheet2" sheetId="13" state="hidden" r:id="rId3"/>
    <sheet name="Standalone" sheetId="6" state="hidden" r:id="rId4"/>
    <sheet name="Standalone New" sheetId="9" state="hidden" r:id="rId5"/>
    <sheet name="Consol" sheetId="5" state="hidden" r:id="rId6"/>
    <sheet name="Peer analysis" sheetId="7" state="hidden" r:id="rId7"/>
    <sheet name="Sheet1" sheetId="12" state="hidden" r:id="rId8"/>
  </sheets>
  <definedNames>
    <definedName name="_xlnm.Print_Area" localSheetId="5">Consol!$A$1:$O$77</definedName>
    <definedName name="_xlnm.Print_Area" localSheetId="0">'Fairchem Organics Ltd.'!$A$1:$U$67</definedName>
    <definedName name="_xlnm.Print_Area" localSheetId="6">'Peer analysis'!$A$1:$V$62</definedName>
    <definedName name="_xlnm.Print_Area" localSheetId="4">'Standalone New'!$A$1:$V$75</definedName>
  </definedNames>
  <calcPr calcId="162913"/>
</workbook>
</file>

<file path=xl/calcChain.xml><?xml version="1.0" encoding="utf-8"?>
<calcChain xmlns="http://schemas.openxmlformats.org/spreadsheetml/2006/main">
  <c r="K56" i="11" l="1"/>
  <c r="P53" i="11"/>
  <c r="W50" i="11"/>
  <c r="W53" i="11" s="1"/>
  <c r="K59" i="11"/>
  <c r="K57" i="11"/>
  <c r="K58" i="11"/>
  <c r="K9" i="11"/>
  <c r="K16" i="11" s="1"/>
  <c r="K19" i="11" s="1"/>
  <c r="J9" i="11" l="1"/>
  <c r="J7" i="11"/>
  <c r="K6" i="11"/>
  <c r="K24" i="11"/>
  <c r="J8" i="11"/>
  <c r="K27" i="11" l="1"/>
  <c r="K30" i="11" s="1"/>
  <c r="K31" i="11" s="1"/>
  <c r="K26" i="11"/>
  <c r="V63" i="11"/>
  <c r="T63" i="11"/>
  <c r="V62" i="11"/>
  <c r="V67" i="11"/>
  <c r="W32" i="11"/>
  <c r="V61" i="11"/>
  <c r="U61" i="11"/>
  <c r="T61" i="11"/>
  <c r="S61" i="11"/>
  <c r="Q61" i="11"/>
  <c r="V31" i="11"/>
  <c r="V23" i="11"/>
  <c r="V39" i="11" s="1"/>
  <c r="U10" i="11"/>
  <c r="U6" i="11"/>
  <c r="U11" i="11" s="1"/>
  <c r="C7" i="11"/>
  <c r="D7" i="11"/>
  <c r="E7" i="11"/>
  <c r="H7" i="11"/>
  <c r="T64" i="11" s="1"/>
  <c r="I7" i="11"/>
  <c r="H8" i="11"/>
  <c r="I8" i="11"/>
  <c r="G8" i="11"/>
  <c r="V64" i="11"/>
  <c r="V45" i="11"/>
  <c r="V12" i="11" s="1"/>
  <c r="I37" i="11"/>
  <c r="V14" i="11"/>
  <c r="V10" i="11"/>
  <c r="V6" i="11"/>
  <c r="I51" i="11"/>
  <c r="J51" i="11"/>
  <c r="V11" i="11" l="1"/>
  <c r="V51" i="11"/>
  <c r="V54" i="11" s="1"/>
  <c r="V66" i="11"/>
  <c r="V59" i="11"/>
  <c r="V58" i="11"/>
  <c r="V46" i="11"/>
  <c r="J36" i="11"/>
  <c r="J35" i="11"/>
  <c r="J56" i="11" l="1"/>
  <c r="I56" i="11"/>
  <c r="H56" i="11"/>
  <c r="V60" i="11"/>
  <c r="V50" i="11"/>
  <c r="V53" i="11" s="1"/>
  <c r="J46" i="11" l="1"/>
  <c r="U14" i="11" l="1"/>
  <c r="T14" i="11"/>
  <c r="S14" i="11"/>
  <c r="J37" i="11" l="1"/>
  <c r="J58" i="11"/>
  <c r="J50" i="11"/>
  <c r="J52" i="11" s="1"/>
  <c r="J6" i="11"/>
  <c r="U60" i="11"/>
  <c r="T60" i="11"/>
  <c r="U67" i="11"/>
  <c r="U50" i="11"/>
  <c r="U63" i="11"/>
  <c r="I36" i="11"/>
  <c r="I35" i="11"/>
  <c r="J57" i="11" l="1"/>
  <c r="J59" i="11" s="1"/>
  <c r="U53" i="11"/>
  <c r="U31" i="11"/>
  <c r="I58" i="11"/>
  <c r="U51" i="11"/>
  <c r="U54" i="11" s="1"/>
  <c r="I50" i="11"/>
  <c r="I52" i="11" s="1"/>
  <c r="I46" i="11"/>
  <c r="I47" i="11" s="1"/>
  <c r="J42" i="11" s="1"/>
  <c r="J47" i="11" s="1"/>
  <c r="I57" i="11" l="1"/>
  <c r="I59" i="11" s="1"/>
  <c r="U66" i="11"/>
  <c r="U46" i="11"/>
  <c r="U58" i="11"/>
  <c r="U23" i="11"/>
  <c r="U45" i="11" s="1"/>
  <c r="U12" i="11" s="1"/>
  <c r="U59" i="11"/>
  <c r="I9" i="11"/>
  <c r="I16" i="11" s="1"/>
  <c r="I6" i="11"/>
  <c r="U57" i="11" l="1"/>
  <c r="I24" i="11"/>
  <c r="I27" i="11"/>
  <c r="U39" i="11"/>
  <c r="V65" i="11" s="1"/>
  <c r="U55" i="11"/>
  <c r="I19" i="11"/>
  <c r="I30" i="11" l="1"/>
  <c r="U56" i="11"/>
  <c r="I26" i="11"/>
  <c r="T67" i="11"/>
  <c r="T53" i="11"/>
  <c r="H58" i="11"/>
  <c r="I31" i="11" l="1"/>
  <c r="H50" i="11"/>
  <c r="H52" i="11" s="1"/>
  <c r="G46" i="11"/>
  <c r="H46" i="11"/>
  <c r="H47" i="11" s="1"/>
  <c r="S32" i="11"/>
  <c r="T32" i="11"/>
  <c r="U62" i="11" s="1"/>
  <c r="U64" i="11" s="1"/>
  <c r="H36" i="11"/>
  <c r="G36" i="11"/>
  <c r="H35" i="11"/>
  <c r="H25" i="11"/>
  <c r="H9" i="11"/>
  <c r="T62" i="11" l="1"/>
  <c r="H6" i="11"/>
  <c r="H16" i="11" l="1"/>
  <c r="I17" i="11" l="1"/>
  <c r="H24" i="11"/>
  <c r="H27" i="11" s="1"/>
  <c r="H19" i="11"/>
  <c r="F26" i="14"/>
  <c r="E26" i="14"/>
  <c r="H30" i="11" l="1"/>
  <c r="I32" i="11" s="1"/>
  <c r="H26" i="11"/>
  <c r="H13" i="7"/>
  <c r="H10" i="7"/>
  <c r="F14" i="7"/>
  <c r="F36" i="7"/>
  <c r="F13" i="7"/>
  <c r="F10" i="7"/>
  <c r="S63" i="11"/>
  <c r="S67" i="11"/>
  <c r="B14" i="7"/>
  <c r="B6" i="7"/>
  <c r="H31" i="11" l="1"/>
  <c r="B45" i="7"/>
  <c r="C43" i="7"/>
  <c r="C39" i="7"/>
  <c r="C25" i="7"/>
  <c r="C21" i="7"/>
  <c r="C20" i="7"/>
  <c r="T31" i="11" l="1"/>
  <c r="T23" i="11"/>
  <c r="T10" i="11"/>
  <c r="T6" i="11"/>
  <c r="T51" i="11" l="1"/>
  <c r="T54" i="11" s="1"/>
  <c r="T56" i="11"/>
  <c r="T66" i="11"/>
  <c r="T59" i="11"/>
  <c r="T58" i="11"/>
  <c r="H57" i="11"/>
  <c r="H59" i="11" s="1"/>
  <c r="T55" i="11" s="1"/>
  <c r="T39" i="11"/>
  <c r="U65" i="11" s="1"/>
  <c r="T11" i="11"/>
  <c r="T57" i="11" s="1"/>
  <c r="C18" i="7"/>
  <c r="T46" i="11"/>
  <c r="C19" i="7"/>
  <c r="T45" i="11"/>
  <c r="T12" i="11" s="1"/>
  <c r="G56" i="11" l="1"/>
  <c r="B28" i="7" s="1"/>
  <c r="B7" i="7" l="1"/>
  <c r="C7" i="7"/>
  <c r="R32" i="11"/>
  <c r="R26" i="11"/>
  <c r="R20" i="11"/>
  <c r="R14" i="11" s="1"/>
  <c r="R5" i="11"/>
  <c r="F10" i="11"/>
  <c r="F4" i="11"/>
  <c r="R61" i="11" l="1"/>
  <c r="F7" i="11"/>
  <c r="G7" i="11"/>
  <c r="F46" i="11"/>
  <c r="S6" i="11"/>
  <c r="S60" i="11"/>
  <c r="C34" i="7" s="1"/>
  <c r="S53" i="11"/>
  <c r="S10" i="11"/>
  <c r="S66" i="11" s="1"/>
  <c r="G35" i="11"/>
  <c r="G9" i="11"/>
  <c r="G16" i="11" s="1"/>
  <c r="G6" i="11"/>
  <c r="H17" i="11" l="1"/>
  <c r="B33" i="7"/>
  <c r="C33" i="7"/>
  <c r="B8" i="7"/>
  <c r="S59" i="11"/>
  <c r="C50" i="7" s="1"/>
  <c r="C52" i="7"/>
  <c r="S62" i="11"/>
  <c r="B46" i="7" s="1"/>
  <c r="S11" i="11"/>
  <c r="S57" i="11" s="1"/>
  <c r="S51" i="11"/>
  <c r="C40" i="7" s="1"/>
  <c r="G57" i="11"/>
  <c r="S23" i="11"/>
  <c r="S45" i="11" s="1"/>
  <c r="G58" i="11"/>
  <c r="G24" i="11"/>
  <c r="G26" i="11" s="1"/>
  <c r="S31" i="11"/>
  <c r="S46" i="11" s="1"/>
  <c r="S58" i="11"/>
  <c r="C49" i="7" s="1"/>
  <c r="G19" i="11"/>
  <c r="B10" i="7" s="1"/>
  <c r="F6" i="11"/>
  <c r="N60" i="11"/>
  <c r="N62" i="11"/>
  <c r="N63" i="11"/>
  <c r="N67" i="11"/>
  <c r="B6" i="11"/>
  <c r="B7" i="11" s="1"/>
  <c r="B9" i="11"/>
  <c r="B16" i="11" s="1"/>
  <c r="G18" i="11" s="1"/>
  <c r="O67" i="11"/>
  <c r="P67" i="11"/>
  <c r="Q67" i="11"/>
  <c r="R67" i="11"/>
  <c r="O63" i="11"/>
  <c r="E11" i="11"/>
  <c r="E9" i="11" s="1"/>
  <c r="E16" i="11" s="1"/>
  <c r="O5" i="11"/>
  <c r="O6" i="11" s="1"/>
  <c r="P5" i="11"/>
  <c r="P6" i="11" s="1"/>
  <c r="O10" i="11"/>
  <c r="P10" i="11"/>
  <c r="P66" i="11" s="1"/>
  <c r="O20" i="11"/>
  <c r="O26" i="11"/>
  <c r="O23" i="11" s="1"/>
  <c r="O31" i="11"/>
  <c r="P20" i="11"/>
  <c r="P14" i="11" s="1"/>
  <c r="P26" i="11"/>
  <c r="D58" i="11" s="1"/>
  <c r="P32" i="11"/>
  <c r="P31" i="11" s="1"/>
  <c r="F9" i="11"/>
  <c r="F16" i="11" s="1"/>
  <c r="R6" i="11"/>
  <c r="R51" i="11" s="1"/>
  <c r="Q6" i="11"/>
  <c r="Q51" i="11" s="1"/>
  <c r="Q54" i="11" s="1"/>
  <c r="R10" i="11"/>
  <c r="F57" i="11" s="1"/>
  <c r="R23" i="11"/>
  <c r="F56" i="11"/>
  <c r="K32" i="13"/>
  <c r="C20" i="13"/>
  <c r="D35" i="11"/>
  <c r="F35" i="11"/>
  <c r="E46" i="11"/>
  <c r="E47" i="11" s="1"/>
  <c r="C46" i="11"/>
  <c r="C47" i="11" s="1"/>
  <c r="O50" i="11"/>
  <c r="O53" i="11" s="1"/>
  <c r="C9" i="11"/>
  <c r="C16" i="11" s="1"/>
  <c r="H18" i="11" s="1"/>
  <c r="C6" i="11"/>
  <c r="O62" i="11"/>
  <c r="O66" i="11"/>
  <c r="D9" i="11"/>
  <c r="D16" i="11" s="1"/>
  <c r="D6" i="11"/>
  <c r="R50" i="11"/>
  <c r="R53" i="11" s="1"/>
  <c r="Q32" i="11"/>
  <c r="Q31" i="11" s="1"/>
  <c r="Q26" i="11"/>
  <c r="E58" i="11" s="1"/>
  <c r="Q20" i="11"/>
  <c r="Q14" i="11" s="1"/>
  <c r="R31" i="11"/>
  <c r="C9" i="7"/>
  <c r="E56" i="11"/>
  <c r="D56" i="11"/>
  <c r="Q50" i="11"/>
  <c r="Q53" i="11" s="1"/>
  <c r="P50" i="11"/>
  <c r="N50" i="11"/>
  <c r="N53" i="11" s="1"/>
  <c r="E50" i="11"/>
  <c r="E52" i="11" s="1"/>
  <c r="G50" i="11"/>
  <c r="F50" i="11"/>
  <c r="F52" i="11" s="1"/>
  <c r="D50" i="11"/>
  <c r="D52" i="11" s="1"/>
  <c r="F47" i="11"/>
  <c r="G42" i="11" s="1"/>
  <c r="D46" i="11"/>
  <c r="D47" i="11" s="1"/>
  <c r="N31" i="11"/>
  <c r="E35" i="11"/>
  <c r="N23" i="11"/>
  <c r="P63" i="11"/>
  <c r="Q10" i="11"/>
  <c r="N10" i="11"/>
  <c r="N6" i="11"/>
  <c r="N51" i="11" s="1"/>
  <c r="N54" i="11" s="1"/>
  <c r="E6" i="11"/>
  <c r="E19" i="7"/>
  <c r="R63" i="11"/>
  <c r="I54" i="9"/>
  <c r="J50" i="9"/>
  <c r="J51" i="9"/>
  <c r="J54" i="9"/>
  <c r="J52" i="9"/>
  <c r="V54" i="9"/>
  <c r="V53" i="9"/>
  <c r="J59" i="9" s="1"/>
  <c r="J43" i="9"/>
  <c r="J42" i="9"/>
  <c r="J41" i="9"/>
  <c r="V39" i="9"/>
  <c r="V47" i="9"/>
  <c r="V46" i="9"/>
  <c r="V44" i="9"/>
  <c r="V41" i="9"/>
  <c r="V40" i="9"/>
  <c r="V38" i="9"/>
  <c r="V37" i="9"/>
  <c r="V36" i="9"/>
  <c r="V32" i="9"/>
  <c r="V31" i="9"/>
  <c r="V30" i="9"/>
  <c r="V29" i="9"/>
  <c r="V28" i="9"/>
  <c r="J61" i="9" s="1"/>
  <c r="V27" i="9"/>
  <c r="V26" i="9"/>
  <c r="V24" i="9"/>
  <c r="V21" i="9"/>
  <c r="V20" i="9"/>
  <c r="V19" i="9"/>
  <c r="V18" i="9"/>
  <c r="V17" i="9"/>
  <c r="V16" i="9"/>
  <c r="V15" i="9"/>
  <c r="V9" i="9"/>
  <c r="V8" i="9"/>
  <c r="V5" i="9"/>
  <c r="V4" i="9"/>
  <c r="J29" i="9"/>
  <c r="J24" i="9"/>
  <c r="J21" i="9"/>
  <c r="J20" i="9"/>
  <c r="J49" i="9" s="1"/>
  <c r="J15" i="9"/>
  <c r="J14" i="9"/>
  <c r="J13" i="9"/>
  <c r="J12" i="9"/>
  <c r="J10" i="9"/>
  <c r="J5" i="9"/>
  <c r="J4" i="9"/>
  <c r="I59" i="9"/>
  <c r="H59" i="9"/>
  <c r="Q47" i="9"/>
  <c r="Q40" i="9"/>
  <c r="Q39" i="9"/>
  <c r="Q38" i="9"/>
  <c r="Q37" i="9"/>
  <c r="Q36" i="9"/>
  <c r="Q34" i="9"/>
  <c r="Q33" i="9"/>
  <c r="Q32" i="9"/>
  <c r="Q31" i="9"/>
  <c r="Q30" i="9"/>
  <c r="Q28" i="9"/>
  <c r="E61" i="9" s="1"/>
  <c r="Q27" i="9"/>
  <c r="Q26" i="9"/>
  <c r="Q67" i="9" s="1"/>
  <c r="Q6" i="9"/>
  <c r="Q54" i="9"/>
  <c r="Q57" i="9" s="1"/>
  <c r="R54" i="9"/>
  <c r="R57" i="9" s="1"/>
  <c r="E59" i="9"/>
  <c r="U54" i="9"/>
  <c r="U57" i="9" s="1"/>
  <c r="F44" i="9"/>
  <c r="E6" i="9"/>
  <c r="Q65" i="9" s="1"/>
  <c r="H35" i="9"/>
  <c r="I35" i="9"/>
  <c r="F34" i="9"/>
  <c r="G34" i="9"/>
  <c r="H34" i="9"/>
  <c r="I34" i="9"/>
  <c r="E9" i="9"/>
  <c r="E16" i="9" s="1"/>
  <c r="F9" i="9"/>
  <c r="F16" i="9" s="1"/>
  <c r="G9" i="9"/>
  <c r="G16" i="9" s="1"/>
  <c r="H9" i="9"/>
  <c r="H16" i="9" s="1"/>
  <c r="I9" i="9"/>
  <c r="I16" i="9" s="1"/>
  <c r="I23" i="9" s="1"/>
  <c r="I48" i="9" s="1"/>
  <c r="H50" i="9"/>
  <c r="H49" i="9"/>
  <c r="U67" i="9"/>
  <c r="U64" i="9"/>
  <c r="I51" i="9"/>
  <c r="I50" i="9"/>
  <c r="I49" i="9"/>
  <c r="I44" i="9"/>
  <c r="U36" i="9"/>
  <c r="U28" i="9"/>
  <c r="I61" i="9" s="1"/>
  <c r="I24" i="9"/>
  <c r="U10" i="9"/>
  <c r="I60" i="9" s="1"/>
  <c r="U6" i="9"/>
  <c r="U55" i="9" s="1"/>
  <c r="U58" i="9" s="1"/>
  <c r="H44" i="9"/>
  <c r="H45" i="9" s="1"/>
  <c r="I40" i="9" s="1"/>
  <c r="I6" i="9"/>
  <c r="U65" i="9" s="1"/>
  <c r="T67" i="9"/>
  <c r="S67" i="9"/>
  <c r="P67" i="9"/>
  <c r="O67" i="9"/>
  <c r="T66" i="9"/>
  <c r="S66" i="9"/>
  <c r="P66" i="9"/>
  <c r="O66" i="9"/>
  <c r="T64" i="9"/>
  <c r="S64" i="9"/>
  <c r="R64" i="9"/>
  <c r="Q64" i="9"/>
  <c r="P64" i="9"/>
  <c r="O64" i="9"/>
  <c r="N64" i="9"/>
  <c r="D61" i="9"/>
  <c r="C61" i="9"/>
  <c r="B61" i="9"/>
  <c r="G59" i="9"/>
  <c r="F59" i="9"/>
  <c r="D59" i="9"/>
  <c r="C59" i="9"/>
  <c r="B59" i="9"/>
  <c r="D54" i="9"/>
  <c r="C54" i="9"/>
  <c r="D52" i="9"/>
  <c r="C52" i="9"/>
  <c r="B52" i="9"/>
  <c r="T54" i="9"/>
  <c r="T57" i="9" s="1"/>
  <c r="S54" i="9"/>
  <c r="S57" i="9" s="1"/>
  <c r="P54" i="9"/>
  <c r="P57" i="9" s="1"/>
  <c r="O54" i="9"/>
  <c r="O57" i="9" s="1"/>
  <c r="N54" i="9"/>
  <c r="N57" i="9" s="1"/>
  <c r="D50" i="9"/>
  <c r="C50" i="9"/>
  <c r="B50" i="9"/>
  <c r="G49" i="9"/>
  <c r="G50" i="9" s="1"/>
  <c r="F49" i="9"/>
  <c r="F50" i="9" s="1"/>
  <c r="E49" i="9"/>
  <c r="E50" i="9" s="1"/>
  <c r="D49" i="9"/>
  <c r="C49" i="9"/>
  <c r="B49" i="9"/>
  <c r="G44" i="9"/>
  <c r="G45" i="9" s="1"/>
  <c r="F45" i="9"/>
  <c r="E44" i="9"/>
  <c r="E45" i="9" s="1"/>
  <c r="D44" i="9"/>
  <c r="C44" i="9"/>
  <c r="B44" i="9"/>
  <c r="T35" i="9"/>
  <c r="S35" i="9"/>
  <c r="R35" i="9"/>
  <c r="P35" i="9"/>
  <c r="O35" i="9"/>
  <c r="N35" i="9"/>
  <c r="D34" i="9"/>
  <c r="C34" i="9"/>
  <c r="T28" i="9"/>
  <c r="S28" i="9"/>
  <c r="G61" i="9" s="1"/>
  <c r="R28" i="9"/>
  <c r="F61" i="9" s="1"/>
  <c r="S25" i="9"/>
  <c r="S43" i="9" s="1"/>
  <c r="P25" i="9"/>
  <c r="P49" i="9" s="1"/>
  <c r="O25" i="9"/>
  <c r="N25" i="9"/>
  <c r="N49" i="9" s="1"/>
  <c r="H24" i="9"/>
  <c r="T10" i="9"/>
  <c r="T70" i="9" s="1"/>
  <c r="S10" i="9"/>
  <c r="S70" i="9" s="1"/>
  <c r="R10" i="9"/>
  <c r="R70" i="9" s="1"/>
  <c r="Q10" i="9"/>
  <c r="Q70" i="9" s="1"/>
  <c r="P10" i="9"/>
  <c r="P70" i="9" s="1"/>
  <c r="O10" i="9"/>
  <c r="C60" i="9" s="1"/>
  <c r="O6" i="9"/>
  <c r="O55" i="9" s="1"/>
  <c r="O58" i="9" s="1"/>
  <c r="N10" i="9"/>
  <c r="D9" i="9"/>
  <c r="C9" i="9"/>
  <c r="B9" i="9"/>
  <c r="T6" i="9"/>
  <c r="T11" i="9" s="1"/>
  <c r="S6" i="9"/>
  <c r="S62" i="9" s="1"/>
  <c r="R6" i="9"/>
  <c r="R55" i="9" s="1"/>
  <c r="R58" i="9" s="1"/>
  <c r="P6" i="9"/>
  <c r="P11" i="9" s="1"/>
  <c r="N6" i="9"/>
  <c r="N55" i="9" s="1"/>
  <c r="N58" i="9" s="1"/>
  <c r="H6" i="9"/>
  <c r="G6" i="9"/>
  <c r="F6" i="9"/>
  <c r="F7" i="9" s="1"/>
  <c r="D6" i="9"/>
  <c r="P65" i="9" s="1"/>
  <c r="C6" i="9"/>
  <c r="O65" i="9" s="1"/>
  <c r="B6" i="9"/>
  <c r="H60" i="9"/>
  <c r="T65" i="9"/>
  <c r="Q27" i="6"/>
  <c r="H61" i="6" s="1"/>
  <c r="H34" i="6"/>
  <c r="H35" i="6"/>
  <c r="F61" i="5"/>
  <c r="Q61" i="6"/>
  <c r="Q63" i="6"/>
  <c r="Q64" i="6"/>
  <c r="H24" i="6"/>
  <c r="O62" i="5"/>
  <c r="O64" i="5"/>
  <c r="O65" i="5"/>
  <c r="O69" i="5"/>
  <c r="F34" i="5"/>
  <c r="F35" i="5"/>
  <c r="F24" i="5"/>
  <c r="L70" i="5"/>
  <c r="M69" i="5"/>
  <c r="N69" i="5"/>
  <c r="L69" i="5"/>
  <c r="M70" i="5"/>
  <c r="N70" i="5"/>
  <c r="P64" i="6"/>
  <c r="O64" i="6"/>
  <c r="N64" i="6"/>
  <c r="M64" i="6"/>
  <c r="L64" i="6"/>
  <c r="P63" i="6"/>
  <c r="O63" i="6"/>
  <c r="N63" i="6"/>
  <c r="M63" i="6"/>
  <c r="L63" i="6"/>
  <c r="P61" i="6"/>
  <c r="O61" i="6"/>
  <c r="N61" i="6"/>
  <c r="M61" i="6"/>
  <c r="L61" i="6"/>
  <c r="K61" i="6"/>
  <c r="D61" i="6"/>
  <c r="C61" i="6"/>
  <c r="B61" i="6"/>
  <c r="G59" i="6"/>
  <c r="F59" i="6"/>
  <c r="E59" i="6"/>
  <c r="D59" i="6"/>
  <c r="C59" i="6"/>
  <c r="B59" i="6"/>
  <c r="D54" i="6"/>
  <c r="C54" i="6"/>
  <c r="D52" i="6"/>
  <c r="C52" i="6"/>
  <c r="B52" i="6"/>
  <c r="Q51" i="6"/>
  <c r="Q54" i="6" s="1"/>
  <c r="P51" i="6"/>
  <c r="P54" i="6" s="1"/>
  <c r="O51" i="6"/>
  <c r="O54" i="6" s="1"/>
  <c r="N51" i="6"/>
  <c r="N54" i="6" s="1"/>
  <c r="M51" i="6"/>
  <c r="M54" i="6" s="1"/>
  <c r="L51" i="6"/>
  <c r="L54" i="6" s="1"/>
  <c r="K51" i="6"/>
  <c r="K54" i="6" s="1"/>
  <c r="D50" i="6"/>
  <c r="C50" i="6"/>
  <c r="B50" i="6"/>
  <c r="G49" i="6"/>
  <c r="G50" i="6" s="1"/>
  <c r="F49" i="6"/>
  <c r="F50" i="6" s="1"/>
  <c r="E49" i="6"/>
  <c r="E50" i="6" s="1"/>
  <c r="D49" i="6"/>
  <c r="C49" i="6"/>
  <c r="B49" i="6"/>
  <c r="G44" i="6"/>
  <c r="G45" i="6" s="1"/>
  <c r="F44" i="6"/>
  <c r="F45" i="6" s="1"/>
  <c r="E44" i="6"/>
  <c r="E45" i="6" s="1"/>
  <c r="D44" i="6"/>
  <c r="C44" i="6"/>
  <c r="B44" i="6"/>
  <c r="Q34" i="6"/>
  <c r="P34" i="6"/>
  <c r="P10" i="6"/>
  <c r="P67" i="6" s="1"/>
  <c r="P6" i="6"/>
  <c r="P52" i="6" s="1"/>
  <c r="P55" i="6" s="1"/>
  <c r="O34" i="6"/>
  <c r="N34" i="6"/>
  <c r="M34" i="6"/>
  <c r="L34" i="6"/>
  <c r="K34" i="6"/>
  <c r="G34" i="6"/>
  <c r="F34" i="6"/>
  <c r="D34" i="6"/>
  <c r="C34" i="6"/>
  <c r="P27" i="6"/>
  <c r="P24" i="6" s="1"/>
  <c r="P46" i="6" s="1"/>
  <c r="O27" i="6"/>
  <c r="N27" i="6"/>
  <c r="M24" i="6"/>
  <c r="M46" i="6" s="1"/>
  <c r="M12" i="6" s="1"/>
  <c r="L24" i="6"/>
  <c r="L46" i="6" s="1"/>
  <c r="K24" i="6"/>
  <c r="K46" i="6" s="1"/>
  <c r="Q10" i="6"/>
  <c r="O10" i="6"/>
  <c r="F60" i="6" s="1"/>
  <c r="N10" i="6"/>
  <c r="N67" i="6" s="1"/>
  <c r="M10" i="6"/>
  <c r="D60" i="6" s="1"/>
  <c r="L10" i="6"/>
  <c r="L67" i="6" s="1"/>
  <c r="K10" i="6"/>
  <c r="B60" i="6" s="1"/>
  <c r="K6" i="6"/>
  <c r="H9" i="6"/>
  <c r="G9" i="6"/>
  <c r="F9" i="6"/>
  <c r="E9" i="6"/>
  <c r="D9" i="6"/>
  <c r="C9" i="6"/>
  <c r="B9" i="6"/>
  <c r="B6" i="6"/>
  <c r="B16" i="6" s="1"/>
  <c r="B23" i="6" s="1"/>
  <c r="B26" i="6" s="1"/>
  <c r="Q6" i="6"/>
  <c r="Q11" i="6" s="1"/>
  <c r="O6" i="6"/>
  <c r="O11" i="6" s="1"/>
  <c r="N6" i="6"/>
  <c r="N11" i="6" s="1"/>
  <c r="M6" i="6"/>
  <c r="M11" i="6" s="1"/>
  <c r="L6" i="6"/>
  <c r="L11" i="6" s="1"/>
  <c r="H6" i="6"/>
  <c r="E6" i="6"/>
  <c r="N62" i="6" s="1"/>
  <c r="G6" i="6"/>
  <c r="F6" i="6"/>
  <c r="F16" i="6" s="1"/>
  <c r="D6" i="6"/>
  <c r="M62" i="6" s="1"/>
  <c r="C6" i="6"/>
  <c r="L62" i="6" s="1"/>
  <c r="K65" i="5"/>
  <c r="L65" i="5"/>
  <c r="M65" i="5"/>
  <c r="K64" i="5"/>
  <c r="L64" i="5"/>
  <c r="M64" i="5"/>
  <c r="N64" i="5"/>
  <c r="L52" i="5"/>
  <c r="L55" i="5" s="1"/>
  <c r="M52" i="5"/>
  <c r="M55" i="5" s="1"/>
  <c r="N52" i="5"/>
  <c r="N55" i="5" s="1"/>
  <c r="O52" i="5"/>
  <c r="O55" i="5" s="1"/>
  <c r="K35" i="5"/>
  <c r="L35" i="5"/>
  <c r="M35" i="5"/>
  <c r="N35" i="5"/>
  <c r="P28" i="5" s="1"/>
  <c r="K10" i="5"/>
  <c r="K68" i="5" s="1"/>
  <c r="L10" i="5"/>
  <c r="M10" i="5"/>
  <c r="M68" i="5" s="1"/>
  <c r="N10" i="5"/>
  <c r="N68" i="5" s="1"/>
  <c r="E60" i="5"/>
  <c r="K6" i="5"/>
  <c r="K11" i="5" s="1"/>
  <c r="L6" i="5"/>
  <c r="L53" i="5" s="1"/>
  <c r="L56" i="5" s="1"/>
  <c r="M6" i="5"/>
  <c r="M53" i="5" s="1"/>
  <c r="M56" i="5" s="1"/>
  <c r="N6" i="5"/>
  <c r="N53" i="5" s="1"/>
  <c r="N56" i="5" s="1"/>
  <c r="B59" i="5"/>
  <c r="C59" i="5"/>
  <c r="D59" i="5"/>
  <c r="E59" i="5"/>
  <c r="B44" i="5"/>
  <c r="B45" i="5" s="1"/>
  <c r="C40" i="5" s="1"/>
  <c r="C44" i="5"/>
  <c r="D44" i="5"/>
  <c r="C34" i="5"/>
  <c r="D34" i="5"/>
  <c r="B9" i="5"/>
  <c r="C9" i="5"/>
  <c r="D9" i="5"/>
  <c r="E9" i="5"/>
  <c r="B6" i="5"/>
  <c r="C6" i="5"/>
  <c r="L63" i="5" s="1"/>
  <c r="D6" i="5"/>
  <c r="M63" i="5" s="1"/>
  <c r="E6" i="5"/>
  <c r="F59" i="5"/>
  <c r="E35" i="5"/>
  <c r="B49" i="5"/>
  <c r="B50" i="5" s="1"/>
  <c r="N65" i="5"/>
  <c r="N16" i="5"/>
  <c r="N28" i="5"/>
  <c r="N25" i="5" s="1"/>
  <c r="N47" i="5" s="1"/>
  <c r="K15" i="5"/>
  <c r="K28" i="5"/>
  <c r="B61" i="5" s="1"/>
  <c r="M28" i="5"/>
  <c r="M25" i="5" s="1"/>
  <c r="M47" i="5" s="1"/>
  <c r="L28" i="5"/>
  <c r="C61" i="5" s="1"/>
  <c r="J65" i="5"/>
  <c r="J64" i="5"/>
  <c r="N62" i="5"/>
  <c r="M62" i="5"/>
  <c r="L62" i="5"/>
  <c r="K62" i="5"/>
  <c r="J62" i="5"/>
  <c r="I62" i="5"/>
  <c r="E49" i="5"/>
  <c r="E50" i="5" s="1"/>
  <c r="D49" i="5"/>
  <c r="D50" i="5" s="1"/>
  <c r="C49" i="5"/>
  <c r="C50" i="5" s="1"/>
  <c r="K52" i="5"/>
  <c r="K55" i="5" s="1"/>
  <c r="J52" i="5"/>
  <c r="J55" i="5" s="1"/>
  <c r="I52" i="5"/>
  <c r="I55" i="5" s="1"/>
  <c r="E44" i="5"/>
  <c r="E34" i="5"/>
  <c r="O35" i="5"/>
  <c r="J35" i="5"/>
  <c r="I35" i="5"/>
  <c r="O25" i="5"/>
  <c r="Q18" i="5" s="1"/>
  <c r="J25" i="5"/>
  <c r="J47" i="5" s="1"/>
  <c r="I25" i="5"/>
  <c r="I47" i="5" s="1"/>
  <c r="O10" i="5"/>
  <c r="O6" i="5"/>
  <c r="O53" i="5" s="1"/>
  <c r="J10" i="5"/>
  <c r="J68" i="5"/>
  <c r="I10" i="5"/>
  <c r="F9" i="5"/>
  <c r="J6" i="5"/>
  <c r="J11" i="5" s="1"/>
  <c r="J59" i="5" s="1"/>
  <c r="I6" i="5"/>
  <c r="I58" i="5" s="1"/>
  <c r="F6" i="5"/>
  <c r="O11" i="5"/>
  <c r="O56" i="5"/>
  <c r="J63" i="5"/>
  <c r="J66" i="5" s="1"/>
  <c r="I57" i="5"/>
  <c r="J57" i="5"/>
  <c r="O43" i="9"/>
  <c r="U25" i="9"/>
  <c r="E60" i="6"/>
  <c r="E60" i="9"/>
  <c r="T55" i="9"/>
  <c r="T58" i="9" s="1"/>
  <c r="O11" i="9"/>
  <c r="T62" i="9"/>
  <c r="T50" i="9"/>
  <c r="Q62" i="9"/>
  <c r="O49" i="9"/>
  <c r="C60" i="6"/>
  <c r="O63" i="9"/>
  <c r="C16" i="9"/>
  <c r="L60" i="6"/>
  <c r="I19" i="9"/>
  <c r="N11" i="9"/>
  <c r="S65" i="9"/>
  <c r="S68" i="9" s="1"/>
  <c r="G7" i="9"/>
  <c r="U35" i="9"/>
  <c r="U66" i="9"/>
  <c r="S55" i="9"/>
  <c r="S58" i="9" s="1"/>
  <c r="S50" i="9"/>
  <c r="G60" i="9"/>
  <c r="T25" i="9"/>
  <c r="T43" i="9" s="1"/>
  <c r="T63" i="9"/>
  <c r="H61" i="9"/>
  <c r="H7" i="9"/>
  <c r="I8" i="9"/>
  <c r="H8" i="9"/>
  <c r="U63" i="9"/>
  <c r="I7" i="9"/>
  <c r="I18" i="11" l="1"/>
  <c r="T49" i="9"/>
  <c r="T12" i="9" s="1"/>
  <c r="E61" i="5"/>
  <c r="P68" i="9"/>
  <c r="R11" i="9"/>
  <c r="O42" i="5"/>
  <c r="B60" i="5"/>
  <c r="M12" i="5"/>
  <c r="O62" i="6"/>
  <c r="I12" i="5"/>
  <c r="H62" i="9"/>
  <c r="P55" i="9"/>
  <c r="P58" i="9" s="1"/>
  <c r="J12" i="5"/>
  <c r="O60" i="5"/>
  <c r="P43" i="9"/>
  <c r="E23" i="9"/>
  <c r="E19" i="9"/>
  <c r="G60" i="6"/>
  <c r="N11" i="5"/>
  <c r="L65" i="6"/>
  <c r="F7" i="6"/>
  <c r="M11" i="5"/>
  <c r="B16" i="5"/>
  <c r="O52" i="6"/>
  <c r="O55" i="6" s="1"/>
  <c r="Q24" i="6"/>
  <c r="V67" i="9"/>
  <c r="N12" i="9"/>
  <c r="G23" i="9"/>
  <c r="G48" i="9" s="1"/>
  <c r="G19" i="9"/>
  <c r="S63" i="9"/>
  <c r="Q52" i="6"/>
  <c r="Q55" i="6" s="1"/>
  <c r="N52" i="6"/>
  <c r="N55" i="6" s="1"/>
  <c r="E16" i="6"/>
  <c r="N58" i="6" s="1"/>
  <c r="D16" i="9"/>
  <c r="H8" i="6"/>
  <c r="L12" i="6"/>
  <c r="D62" i="6"/>
  <c r="S11" i="9"/>
  <c r="S61" i="9" s="1"/>
  <c r="N62" i="9"/>
  <c r="N59" i="6"/>
  <c r="M65" i="6"/>
  <c r="U43" i="9"/>
  <c r="F16" i="5"/>
  <c r="O59" i="5" s="1"/>
  <c r="P11" i="6"/>
  <c r="O70" i="9"/>
  <c r="O50" i="9"/>
  <c r="I45" i="9"/>
  <c r="J40" i="9" s="1"/>
  <c r="K61" i="5"/>
  <c r="U70" i="9"/>
  <c r="V35" i="9"/>
  <c r="J44" i="9"/>
  <c r="H23" i="9"/>
  <c r="H26" i="9" s="1"/>
  <c r="I17" i="9"/>
  <c r="F19" i="6"/>
  <c r="F23" i="6"/>
  <c r="F48" i="6" s="1"/>
  <c r="F53" i="6" s="1"/>
  <c r="F55" i="6" s="1"/>
  <c r="O58" i="6"/>
  <c r="N42" i="5"/>
  <c r="E8" i="5"/>
  <c r="P12" i="6"/>
  <c r="K63" i="5"/>
  <c r="K66" i="5" s="1"/>
  <c r="N47" i="6"/>
  <c r="J60" i="5"/>
  <c r="Q62" i="6"/>
  <c r="Q65" i="6" s="1"/>
  <c r="O68" i="5"/>
  <c r="B62" i="5"/>
  <c r="G7" i="6"/>
  <c r="G62" i="9"/>
  <c r="S59" i="9" s="1"/>
  <c r="T68" i="9"/>
  <c r="U62" i="9"/>
  <c r="V64" i="9"/>
  <c r="J53" i="5"/>
  <c r="J56" i="5" s="1"/>
  <c r="L11" i="5"/>
  <c r="L48" i="5"/>
  <c r="N12" i="5"/>
  <c r="P59" i="6"/>
  <c r="I26" i="9"/>
  <c r="U60" i="9" s="1"/>
  <c r="M52" i="6"/>
  <c r="M55" i="6" s="1"/>
  <c r="C7" i="5"/>
  <c r="I61" i="5"/>
  <c r="D16" i="6"/>
  <c r="M56" i="6" s="1"/>
  <c r="M41" i="6"/>
  <c r="O47" i="5"/>
  <c r="O12" i="5" s="1"/>
  <c r="K25" i="5"/>
  <c r="K42" i="5" s="1"/>
  <c r="M66" i="5"/>
  <c r="I25" i="9"/>
  <c r="J58" i="5"/>
  <c r="Q11" i="5"/>
  <c r="V57" i="9"/>
  <c r="Q11" i="9"/>
  <c r="Q61" i="9" s="1"/>
  <c r="N63" i="9"/>
  <c r="Q35" i="9"/>
  <c r="Q50" i="9" s="1"/>
  <c r="B16" i="9"/>
  <c r="B23" i="9" s="1"/>
  <c r="N61" i="9" s="1"/>
  <c r="O62" i="9"/>
  <c r="G53" i="9"/>
  <c r="G55" i="9" s="1"/>
  <c r="Q66" i="9"/>
  <c r="Q68" i="9" s="1"/>
  <c r="O68" i="9"/>
  <c r="R66" i="9"/>
  <c r="R61" i="9"/>
  <c r="F23" i="9"/>
  <c r="F17" i="9"/>
  <c r="F19" i="9"/>
  <c r="I18" i="9"/>
  <c r="G17" i="9"/>
  <c r="D51" i="9"/>
  <c r="B30" i="6"/>
  <c r="B27" i="6"/>
  <c r="P69" i="9"/>
  <c r="D7" i="6"/>
  <c r="H19" i="9"/>
  <c r="D16" i="5"/>
  <c r="M59" i="5" s="1"/>
  <c r="R63" i="9"/>
  <c r="B60" i="9"/>
  <c r="B62" i="9" s="1"/>
  <c r="I53" i="5"/>
  <c r="I56" i="5" s="1"/>
  <c r="B19" i="6"/>
  <c r="I60" i="5"/>
  <c r="L25" i="5"/>
  <c r="L66" i="5"/>
  <c r="R65" i="9"/>
  <c r="I62" i="9"/>
  <c r="U59" i="9" s="1"/>
  <c r="J9" i="9"/>
  <c r="J16" i="9" s="1"/>
  <c r="T59" i="9"/>
  <c r="V25" i="9"/>
  <c r="V49" i="9" s="1"/>
  <c r="V12" i="9" s="1"/>
  <c r="H17" i="9"/>
  <c r="C7" i="9"/>
  <c r="R25" i="9"/>
  <c r="P60" i="6"/>
  <c r="L52" i="6"/>
  <c r="L55" i="6" s="1"/>
  <c r="K60" i="5"/>
  <c r="P61" i="9"/>
  <c r="P50" i="9"/>
  <c r="F60" i="5"/>
  <c r="F62" i="5" s="1"/>
  <c r="J61" i="5"/>
  <c r="I48" i="5"/>
  <c r="P63" i="9"/>
  <c r="C62" i="9"/>
  <c r="O59" i="9" s="1"/>
  <c r="V66" i="9"/>
  <c r="H18" i="9"/>
  <c r="O12" i="9"/>
  <c r="S49" i="9"/>
  <c r="S12" i="9" s="1"/>
  <c r="Q63" i="9"/>
  <c r="D7" i="9"/>
  <c r="K53" i="5"/>
  <c r="K56" i="5" s="1"/>
  <c r="I11" i="5"/>
  <c r="I59" i="5" s="1"/>
  <c r="J42" i="5"/>
  <c r="B62" i="6"/>
  <c r="K56" i="6" s="1"/>
  <c r="N65" i="6"/>
  <c r="T61" i="9"/>
  <c r="V6" i="9"/>
  <c r="V55" i="9" s="1"/>
  <c r="V58" i="9" s="1"/>
  <c r="M48" i="5"/>
  <c r="G61" i="6"/>
  <c r="G62" i="6" s="1"/>
  <c r="C7" i="6"/>
  <c r="F60" i="9"/>
  <c r="F62" i="9" s="1"/>
  <c r="R59" i="9" s="1"/>
  <c r="U68" i="9"/>
  <c r="H48" i="9"/>
  <c r="H53" i="9" s="1"/>
  <c r="H55" i="9" s="1"/>
  <c r="D7" i="5"/>
  <c r="J6" i="9"/>
  <c r="V65" i="9" s="1"/>
  <c r="P62" i="9"/>
  <c r="U69" i="9"/>
  <c r="N50" i="9"/>
  <c r="M60" i="5"/>
  <c r="K41" i="6"/>
  <c r="H7" i="6"/>
  <c r="C16" i="6"/>
  <c r="C17" i="6" s="1"/>
  <c r="C16" i="5"/>
  <c r="C19" i="5" s="1"/>
  <c r="K48" i="5"/>
  <c r="H16" i="6"/>
  <c r="Q58" i="6" s="1"/>
  <c r="K12" i="6"/>
  <c r="N43" i="9"/>
  <c r="O69" i="9" s="1"/>
  <c r="D60" i="9"/>
  <c r="D62" i="9" s="1"/>
  <c r="P59" i="9" s="1"/>
  <c r="Q25" i="9"/>
  <c r="L59" i="6"/>
  <c r="L47" i="6"/>
  <c r="U50" i="9"/>
  <c r="I53" i="9"/>
  <c r="I55" i="9" s="1"/>
  <c r="O48" i="5"/>
  <c r="U49" i="9"/>
  <c r="U12" i="9" s="1"/>
  <c r="R50" i="9"/>
  <c r="O61" i="5"/>
  <c r="P12" i="9"/>
  <c r="V10" i="9"/>
  <c r="V70" i="9" s="1"/>
  <c r="S54" i="11"/>
  <c r="B35" i="7" s="1"/>
  <c r="R66" i="11"/>
  <c r="G52" i="11"/>
  <c r="B26" i="7" s="1"/>
  <c r="B25" i="7"/>
  <c r="B9" i="7"/>
  <c r="C10" i="7"/>
  <c r="S64" i="11"/>
  <c r="B47" i="7" s="1"/>
  <c r="B44" i="7"/>
  <c r="G59" i="11"/>
  <c r="S55" i="11" s="1"/>
  <c r="P62" i="11"/>
  <c r="D57" i="11"/>
  <c r="D59" i="11" s="1"/>
  <c r="P55" i="11" s="1"/>
  <c r="Q63" i="11"/>
  <c r="R11" i="11"/>
  <c r="R57" i="11" s="1"/>
  <c r="H27" i="9"/>
  <c r="H30" i="9"/>
  <c r="T60" i="9"/>
  <c r="T69" i="9"/>
  <c r="K57" i="6"/>
  <c r="H25" i="9"/>
  <c r="C19" i="9"/>
  <c r="C23" i="9"/>
  <c r="C17" i="9"/>
  <c r="M61" i="5"/>
  <c r="D61" i="5"/>
  <c r="B19" i="5"/>
  <c r="B48" i="6"/>
  <c r="B53" i="6" s="1"/>
  <c r="M60" i="6"/>
  <c r="M47" i="6"/>
  <c r="M59" i="6"/>
  <c r="M67" i="6"/>
  <c r="N24" i="6"/>
  <c r="E61" i="6"/>
  <c r="E62" i="6" s="1"/>
  <c r="N56" i="6" s="1"/>
  <c r="Q41" i="6"/>
  <c r="Q46" i="6"/>
  <c r="Q12" i="6" s="1"/>
  <c r="O65" i="6"/>
  <c r="Q67" i="6"/>
  <c r="Q60" i="6"/>
  <c r="H60" i="6"/>
  <c r="Q59" i="6"/>
  <c r="Q47" i="6"/>
  <c r="F26" i="6"/>
  <c r="E23" i="6"/>
  <c r="E19" i="6"/>
  <c r="E16" i="5"/>
  <c r="N63" i="5"/>
  <c r="N66" i="5" s="1"/>
  <c r="E7" i="5"/>
  <c r="L68" i="5"/>
  <c r="C60" i="5"/>
  <c r="C62" i="5" s="1"/>
  <c r="L57" i="5" s="1"/>
  <c r="L60" i="5"/>
  <c r="K52" i="6"/>
  <c r="K55" i="6" s="1"/>
  <c r="K11" i="6"/>
  <c r="K58" i="6" s="1"/>
  <c r="K60" i="6"/>
  <c r="P47" i="6"/>
  <c r="P41" i="6"/>
  <c r="B25" i="6"/>
  <c r="F17" i="6"/>
  <c r="G25" i="9"/>
  <c r="G26" i="9"/>
  <c r="L61" i="5"/>
  <c r="H59" i="6"/>
  <c r="N60" i="6"/>
  <c r="M42" i="5"/>
  <c r="C62" i="6"/>
  <c r="J48" i="5"/>
  <c r="F7" i="5"/>
  <c r="F8" i="5"/>
  <c r="O67" i="5"/>
  <c r="E62" i="5"/>
  <c r="O24" i="6"/>
  <c r="F61" i="6"/>
  <c r="F62" i="6" s="1"/>
  <c r="O56" i="6" s="1"/>
  <c r="O47" i="6"/>
  <c r="D17" i="9"/>
  <c r="O60" i="6"/>
  <c r="L41" i="6"/>
  <c r="N48" i="5"/>
  <c r="K47" i="6"/>
  <c r="I42" i="5"/>
  <c r="J67" i="5" s="1"/>
  <c r="O63" i="5"/>
  <c r="O66" i="5" s="1"/>
  <c r="N60" i="5"/>
  <c r="N61" i="5"/>
  <c r="O59" i="6"/>
  <c r="O67" i="6"/>
  <c r="G16" i="6"/>
  <c r="P62" i="6"/>
  <c r="P65" i="6" s="1"/>
  <c r="K59" i="6"/>
  <c r="J23" i="9"/>
  <c r="J19" i="9"/>
  <c r="E62" i="9"/>
  <c r="Q59" i="9" s="1"/>
  <c r="C45" i="5"/>
  <c r="D40" i="5" s="1"/>
  <c r="D45" i="5" s="1"/>
  <c r="E40" i="5" s="1"/>
  <c r="E45" i="5" s="1"/>
  <c r="J60" i="9"/>
  <c r="J62" i="9" s="1"/>
  <c r="V59" i="9" s="1"/>
  <c r="R62" i="9"/>
  <c r="U11" i="9"/>
  <c r="U61" i="9" s="1"/>
  <c r="Q55" i="9"/>
  <c r="Q58" i="9" s="1"/>
  <c r="R67" i="9"/>
  <c r="D60" i="5"/>
  <c r="D62" i="5" s="1"/>
  <c r="M57" i="5" s="1"/>
  <c r="R58" i="11"/>
  <c r="G27" i="11"/>
  <c r="S56" i="11" s="1"/>
  <c r="P23" i="11"/>
  <c r="P45" i="11" s="1"/>
  <c r="P12" i="11" s="1"/>
  <c r="R46" i="11"/>
  <c r="R62" i="11"/>
  <c r="Q11" i="11"/>
  <c r="Q57" i="11" s="1"/>
  <c r="O46" i="11"/>
  <c r="O58" i="11"/>
  <c r="E24" i="11"/>
  <c r="E27" i="11" s="1"/>
  <c r="E19" i="11"/>
  <c r="P59" i="11"/>
  <c r="P51" i="11"/>
  <c r="P54" i="11" s="1"/>
  <c r="P58" i="11"/>
  <c r="Q62" i="11"/>
  <c r="Q58" i="11"/>
  <c r="N39" i="11"/>
  <c r="N65" i="11" s="1"/>
  <c r="N59" i="11"/>
  <c r="N46" i="11"/>
  <c r="N11" i="11"/>
  <c r="N57" i="11" s="1"/>
  <c r="R39" i="11"/>
  <c r="D24" i="11"/>
  <c r="D27" i="11" s="1"/>
  <c r="D30" i="11" s="1"/>
  <c r="D19" i="11"/>
  <c r="G47" i="11"/>
  <c r="S39" i="11"/>
  <c r="S12" i="11"/>
  <c r="R54" i="11"/>
  <c r="O39" i="11"/>
  <c r="O65" i="11" s="1"/>
  <c r="O45" i="11"/>
  <c r="O12" i="11" s="1"/>
  <c r="F24" i="11"/>
  <c r="G17" i="11"/>
  <c r="F17" i="11"/>
  <c r="F19" i="11"/>
  <c r="O11" i="11"/>
  <c r="O57" i="11" s="1"/>
  <c r="C19" i="11"/>
  <c r="C17" i="11"/>
  <c r="O55" i="11"/>
  <c r="C24" i="11"/>
  <c r="D17" i="11"/>
  <c r="N55" i="11"/>
  <c r="B17" i="11"/>
  <c r="B24" i="11"/>
  <c r="B19" i="11"/>
  <c r="E17" i="11"/>
  <c r="E57" i="11"/>
  <c r="E59" i="11" s="1"/>
  <c r="Q55" i="11" s="1"/>
  <c r="N45" i="11"/>
  <c r="N12" i="11" s="1"/>
  <c r="P46" i="11"/>
  <c r="Q23" i="11"/>
  <c r="O59" i="11"/>
  <c r="F58" i="11"/>
  <c r="F59" i="11" s="1"/>
  <c r="C29" i="7" s="1"/>
  <c r="P11" i="11"/>
  <c r="P57" i="11" s="1"/>
  <c r="N58" i="11"/>
  <c r="R59" i="11"/>
  <c r="Q66" i="11"/>
  <c r="Q46" i="11"/>
  <c r="Q59" i="11"/>
  <c r="P61" i="11"/>
  <c r="O61" i="11"/>
  <c r="O64" i="11" s="1"/>
  <c r="N66" i="11"/>
  <c r="N61" i="11"/>
  <c r="N64" i="11" s="1"/>
  <c r="R45" i="11"/>
  <c r="R12" i="11" s="1"/>
  <c r="R68" i="9" l="1"/>
  <c r="B19" i="9"/>
  <c r="J45" i="9"/>
  <c r="K57" i="5"/>
  <c r="H19" i="6"/>
  <c r="B23" i="5"/>
  <c r="K59" i="5"/>
  <c r="V43" i="9"/>
  <c r="V69" i="9" s="1"/>
  <c r="N59" i="9"/>
  <c r="F25" i="6"/>
  <c r="E48" i="9"/>
  <c r="E53" i="9" s="1"/>
  <c r="E55" i="9" s="1"/>
  <c r="E26" i="9"/>
  <c r="T65" i="11"/>
  <c r="S65" i="11"/>
  <c r="C48" i="7" s="1"/>
  <c r="F17" i="5"/>
  <c r="F19" i="5"/>
  <c r="D19" i="9"/>
  <c r="D23" i="9"/>
  <c r="B26" i="9"/>
  <c r="B27" i="9" s="1"/>
  <c r="B25" i="9"/>
  <c r="F23" i="5"/>
  <c r="F25" i="5" s="1"/>
  <c r="F18" i="5"/>
  <c r="O57" i="5"/>
  <c r="B48" i="9"/>
  <c r="B53" i="9" s="1"/>
  <c r="M58" i="6"/>
  <c r="K47" i="5"/>
  <c r="K12" i="5" s="1"/>
  <c r="D19" i="6"/>
  <c r="V68" i="9"/>
  <c r="D23" i="6"/>
  <c r="D48" i="6" s="1"/>
  <c r="V50" i="9"/>
  <c r="V62" i="9"/>
  <c r="V63" i="9"/>
  <c r="K67" i="5"/>
  <c r="H18" i="6"/>
  <c r="D17" i="6"/>
  <c r="H23" i="6"/>
  <c r="H26" i="6" s="1"/>
  <c r="L56" i="6"/>
  <c r="I27" i="9"/>
  <c r="I30" i="9"/>
  <c r="I31" i="9" s="1"/>
  <c r="B29" i="7"/>
  <c r="Q49" i="9"/>
  <c r="Q12" i="9" s="1"/>
  <c r="Q43" i="9"/>
  <c r="R49" i="9"/>
  <c r="R12" i="9" s="1"/>
  <c r="R43" i="9"/>
  <c r="S69" i="9" s="1"/>
  <c r="D19" i="5"/>
  <c r="D17" i="5"/>
  <c r="D23" i="5"/>
  <c r="C51" i="9"/>
  <c r="C23" i="5"/>
  <c r="C48" i="5" s="1"/>
  <c r="C53" i="5" s="1"/>
  <c r="C55" i="5" s="1"/>
  <c r="Q66" i="6"/>
  <c r="C17" i="5"/>
  <c r="V11" i="9"/>
  <c r="V61" i="9" s="1"/>
  <c r="L47" i="5"/>
  <c r="L12" i="5" s="1"/>
  <c r="L42" i="5"/>
  <c r="L67" i="5" s="1"/>
  <c r="N67" i="5"/>
  <c r="I13" i="5"/>
  <c r="F25" i="9"/>
  <c r="F26" i="9"/>
  <c r="F48" i="9"/>
  <c r="F53" i="9" s="1"/>
  <c r="F55" i="9" s="1"/>
  <c r="L59" i="5"/>
  <c r="C23" i="6"/>
  <c r="C19" i="6"/>
  <c r="C35" i="7"/>
  <c r="P64" i="11"/>
  <c r="G30" i="11"/>
  <c r="H32" i="11" s="1"/>
  <c r="B11" i="7"/>
  <c r="P39" i="11"/>
  <c r="F26" i="5"/>
  <c r="C26" i="5"/>
  <c r="C25" i="5"/>
  <c r="N57" i="5"/>
  <c r="S60" i="9"/>
  <c r="G27" i="9"/>
  <c r="G30" i="9"/>
  <c r="O46" i="6"/>
  <c r="O12" i="6" s="1"/>
  <c r="O41" i="6"/>
  <c r="P66" i="6" s="1"/>
  <c r="E18" i="5"/>
  <c r="E17" i="5"/>
  <c r="E19" i="5"/>
  <c r="N59" i="5"/>
  <c r="E23" i="5"/>
  <c r="B48" i="5"/>
  <c r="B53" i="5" s="1"/>
  <c r="B55" i="5" s="1"/>
  <c r="B26" i="5"/>
  <c r="G23" i="6"/>
  <c r="G19" i="6"/>
  <c r="G17" i="6"/>
  <c r="P56" i="6"/>
  <c r="P58" i="6"/>
  <c r="H17" i="6"/>
  <c r="H62" i="6"/>
  <c r="Q56" i="6" s="1"/>
  <c r="E26" i="6"/>
  <c r="E48" i="6"/>
  <c r="E53" i="6" s="1"/>
  <c r="E55" i="6" s="1"/>
  <c r="R47" i="6"/>
  <c r="F27" i="6"/>
  <c r="F30" i="6"/>
  <c r="O57" i="6"/>
  <c r="J48" i="9"/>
  <c r="J53" i="9" s="1"/>
  <c r="J55" i="9" s="1"/>
  <c r="J26" i="9"/>
  <c r="J25" i="9"/>
  <c r="D51" i="6"/>
  <c r="M66" i="6"/>
  <c r="C51" i="6"/>
  <c r="N46" i="6"/>
  <c r="N12" i="6" s="1"/>
  <c r="N41" i="6"/>
  <c r="C26" i="9"/>
  <c r="C25" i="9"/>
  <c r="C48" i="9"/>
  <c r="O61" i="9"/>
  <c r="L66" i="6"/>
  <c r="P56" i="11"/>
  <c r="Q64" i="11"/>
  <c r="D26" i="11"/>
  <c r="E26" i="11"/>
  <c r="R64" i="11"/>
  <c r="R55" i="11"/>
  <c r="B26" i="11"/>
  <c r="B27" i="11"/>
  <c r="C27" i="11"/>
  <c r="C26" i="11"/>
  <c r="Q39" i="11"/>
  <c r="R65" i="11" s="1"/>
  <c r="Q45" i="11"/>
  <c r="Q12" i="11" s="1"/>
  <c r="E30" i="11"/>
  <c r="Q56" i="11"/>
  <c r="D31" i="11"/>
  <c r="I33" i="11" s="1"/>
  <c r="F26" i="11"/>
  <c r="F27" i="11"/>
  <c r="E30" i="9" l="1"/>
  <c r="H32" i="9" s="1"/>
  <c r="Q60" i="9"/>
  <c r="E27" i="9"/>
  <c r="B30" i="9"/>
  <c r="N60" i="9"/>
  <c r="P65" i="11"/>
  <c r="Q65" i="11"/>
  <c r="D26" i="9"/>
  <c r="D48" i="9"/>
  <c r="D53" i="9" s="1"/>
  <c r="D55" i="9" s="1"/>
  <c r="D25" i="9"/>
  <c r="D25" i="6"/>
  <c r="H25" i="6"/>
  <c r="D26" i="6"/>
  <c r="D27" i="6" s="1"/>
  <c r="M67" i="5"/>
  <c r="D53" i="6"/>
  <c r="D55" i="6" s="1"/>
  <c r="C53" i="9"/>
  <c r="C55" i="9" s="1"/>
  <c r="C12" i="7"/>
  <c r="D25" i="5"/>
  <c r="D48" i="5"/>
  <c r="D53" i="5" s="1"/>
  <c r="D55" i="5" s="1"/>
  <c r="D26" i="5"/>
  <c r="F27" i="9"/>
  <c r="F30" i="9"/>
  <c r="G31" i="9" s="1"/>
  <c r="R60" i="9"/>
  <c r="R69" i="9"/>
  <c r="Q69" i="9"/>
  <c r="C25" i="6"/>
  <c r="C26" i="6"/>
  <c r="C48" i="6"/>
  <c r="C53" i="6" s="1"/>
  <c r="C55" i="6" s="1"/>
  <c r="L58" i="6"/>
  <c r="M57" i="6"/>
  <c r="D30" i="6"/>
  <c r="G31" i="11"/>
  <c r="B36" i="7"/>
  <c r="C36" i="7"/>
  <c r="E30" i="6"/>
  <c r="N57" i="6"/>
  <c r="E27" i="6"/>
  <c r="B27" i="5"/>
  <c r="K58" i="5"/>
  <c r="B30" i="5"/>
  <c r="O66" i="6"/>
  <c r="N66" i="6"/>
  <c r="J27" i="9"/>
  <c r="V60" i="9"/>
  <c r="J30" i="9"/>
  <c r="G48" i="6"/>
  <c r="G53" i="6" s="1"/>
  <c r="G55" i="6" s="1"/>
  <c r="G25" i="6"/>
  <c r="G26" i="6"/>
  <c r="H30" i="6"/>
  <c r="Q57" i="6"/>
  <c r="H27" i="6"/>
  <c r="H31" i="9"/>
  <c r="C30" i="5"/>
  <c r="C27" i="5"/>
  <c r="L58" i="5"/>
  <c r="F30" i="5"/>
  <c r="O58" i="5"/>
  <c r="F27" i="5"/>
  <c r="C27" i="9"/>
  <c r="O60" i="9"/>
  <c r="C30" i="9"/>
  <c r="F31" i="6"/>
  <c r="E48" i="5"/>
  <c r="E53" i="5" s="1"/>
  <c r="E55" i="5" s="1"/>
  <c r="E25" i="5"/>
  <c r="E26" i="5"/>
  <c r="E32" i="11"/>
  <c r="E31" i="11"/>
  <c r="N56" i="11"/>
  <c r="B30" i="11"/>
  <c r="R56" i="11"/>
  <c r="F30" i="11"/>
  <c r="G32" i="11" s="1"/>
  <c r="C13" i="7"/>
  <c r="C30" i="11"/>
  <c r="O56" i="11"/>
  <c r="B13" i="7" l="1"/>
  <c r="D30" i="9"/>
  <c r="P60" i="9"/>
  <c r="D27" i="9"/>
  <c r="F31" i="9"/>
  <c r="I32" i="9"/>
  <c r="C27" i="6"/>
  <c r="L57" i="6"/>
  <c r="C30" i="6"/>
  <c r="C31" i="6" s="1"/>
  <c r="M58" i="5"/>
  <c r="D27" i="5"/>
  <c r="D30" i="5"/>
  <c r="D31" i="5" s="1"/>
  <c r="E27" i="5"/>
  <c r="N58" i="5"/>
  <c r="E30" i="5"/>
  <c r="F31" i="5" s="1"/>
  <c r="C31" i="9"/>
  <c r="D31" i="9"/>
  <c r="C31" i="5"/>
  <c r="H32" i="6"/>
  <c r="F32" i="5"/>
  <c r="G30" i="6"/>
  <c r="G31" i="6" s="1"/>
  <c r="G27" i="6"/>
  <c r="P57" i="6"/>
  <c r="C32" i="11"/>
  <c r="C31" i="11"/>
  <c r="H33" i="11" s="1"/>
  <c r="D32" i="11"/>
  <c r="B32" i="11"/>
  <c r="B31" i="11"/>
  <c r="F32" i="11"/>
  <c r="F31" i="11"/>
  <c r="G33" i="11" l="1"/>
  <c r="B12" i="7" s="1"/>
  <c r="D31" i="6"/>
  <c r="H31" i="6"/>
  <c r="E31" i="5"/>
  <c r="E32" i="5"/>
  <c r="J16" i="11"/>
  <c r="J24" i="11" l="1"/>
  <c r="J18" i="11"/>
  <c r="J17" i="11"/>
  <c r="V55" i="11"/>
  <c r="V57" i="11"/>
  <c r="J19" i="11"/>
  <c r="J26" i="11" l="1"/>
  <c r="J27" i="11"/>
  <c r="V56" i="11" l="1"/>
  <c r="J30" i="11"/>
  <c r="J31" i="11" l="1"/>
  <c r="J33" i="11" s="1"/>
  <c r="J32" i="11"/>
</calcChain>
</file>

<file path=xl/comments1.xml><?xml version="1.0" encoding="utf-8"?>
<comments xmlns="http://schemas.openxmlformats.org/spreadsheetml/2006/main">
  <authors>
    <author>Dell</author>
  </authors>
  <commentList>
    <comment ref="N6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Don't have the figure of gross block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R6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16.35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17.56</t>
        </r>
      </text>
    </comment>
    <comment ref="T6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13.19</t>
        </r>
      </text>
    </comment>
    <comment ref="R67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S67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48</t>
        </r>
      </text>
    </comment>
    <comment ref="T67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R6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67</t>
        </r>
      </text>
    </comment>
    <comment ref="S68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69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B45" authorId="0" shape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<sst xmlns="http://schemas.openxmlformats.org/spreadsheetml/2006/main" count="868" uniqueCount="236">
  <si>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</si>
  <si>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</si>
  <si>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</si>
  <si>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</si>
  <si>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</si>
  <si>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</si>
  <si>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</si>
  <si>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</si>
  <si>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</si>
  <si>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</si>
  <si>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</si>
  <si>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</si>
  <si>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</si>
  <si>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</si>
  <si>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</si>
  <si>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</si>
  <si>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</si>
  <si>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</si>
  <si>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</si>
  <si>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</si>
  <si>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</si>
  <si>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</si>
  <si>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</si>
  <si>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</si>
  <si>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</si>
  <si>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</si>
  <si>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</si>
  <si>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</si>
  <si>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</si>
  <si>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</si>
  <si>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</si>
  <si>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</si>
  <si>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</si>
  <si>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</si>
  <si>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</si>
  <si>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</si>
  <si>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</si>
  <si>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</si>
  <si>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</si>
  <si>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</si>
  <si>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</si>
  <si>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</si>
  <si>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</si>
  <si>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</si>
  <si>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</si>
  <si>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</si>
  <si>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</si>
  <si>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</si>
  <si>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</si>
  <si>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</si>
  <si>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</si>
  <si>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</si>
  <si>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</si>
  <si>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</si>
  <si>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</si>
  <si>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</si>
  <si>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</si>
  <si>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</si>
  <si>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</si>
  <si>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</si>
  <si>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</si>
  <si>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</si>
  <si>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</si>
  <si>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</si>
  <si>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</si>
  <si>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</si>
  <si>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</si>
  <si>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</si>
  <si>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Other Current Assets</t>
  </si>
  <si>
    <t>Current Investment</t>
  </si>
  <si>
    <t>Other Expenses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</si>
  <si>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</si>
  <si>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</si>
  <si>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</si>
  <si>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</si>
  <si>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</si>
  <si>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</si>
  <si>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</si>
  <si>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</si>
  <si>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</si>
  <si>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</si>
  <si>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</si>
  <si>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</si>
  <si>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</si>
  <si>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</si>
  <si>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assets</t>
  </si>
  <si>
    <t>Other financial liabilities</t>
  </si>
  <si>
    <t>FY18</t>
  </si>
  <si>
    <t>Interest Cost</t>
  </si>
  <si>
    <t>TOTAL L</t>
  </si>
  <si>
    <t>TOTAL A</t>
  </si>
  <si>
    <t>Gross Block</t>
  </si>
  <si>
    <t>NA</t>
  </si>
  <si>
    <t>TOTAL ASSETS</t>
  </si>
  <si>
    <t>TOTAL LIABILITIES</t>
  </si>
  <si>
    <t>Net Income</t>
  </si>
  <si>
    <t>Balance Sheet</t>
  </si>
  <si>
    <t>Income Statement</t>
  </si>
  <si>
    <t>Provisions</t>
  </si>
  <si>
    <t>Current tax Liabilities (net)</t>
  </si>
  <si>
    <t>Property, Plant and Equipment</t>
  </si>
  <si>
    <t>Capital work-in-progress</t>
  </si>
  <si>
    <t>Other Intangible assets</t>
  </si>
  <si>
    <t>Other non current assets</t>
  </si>
  <si>
    <t>Deferred tax assets (net)</t>
  </si>
  <si>
    <t>Others Financial Assets</t>
  </si>
  <si>
    <t xml:space="preserve">Financial Investments </t>
  </si>
  <si>
    <t>Financial  Loans</t>
  </si>
  <si>
    <t>Goodwill</t>
  </si>
  <si>
    <t>Asset Held for sale</t>
  </si>
  <si>
    <t>Tax Assets (net)</t>
  </si>
  <si>
    <t>Cost of materials consumed</t>
  </si>
  <si>
    <t>Excise duty</t>
  </si>
  <si>
    <t>Purchases of Stock-in-trade</t>
  </si>
  <si>
    <t>Changes in inventories of finished goods, Stock-in-trade and
work-in-progress</t>
  </si>
  <si>
    <t>Employee benefits expense</t>
  </si>
  <si>
    <t>Finance costs</t>
  </si>
  <si>
    <t>Share of profit of associates</t>
  </si>
  <si>
    <t xml:space="preserve"> Tax Assets (net)</t>
  </si>
  <si>
    <t>Statutory Auditors - M/S Deloitte Haskins &amp; Sells</t>
  </si>
  <si>
    <t>Internal Auditors - KPMG</t>
  </si>
  <si>
    <t>Cost Auditors - M/s K.G. Goyal &amp; Associates</t>
  </si>
  <si>
    <t>Credit Rating - BWR A for Long term and  BWR A2+ for short term</t>
  </si>
  <si>
    <t>CAGR (%) - 3 Years</t>
  </si>
  <si>
    <r>
      <t xml:space="preserve">CAGR (%) - </t>
    </r>
    <r>
      <rPr>
        <i/>
        <sz val="9"/>
        <color theme="1"/>
        <rFont val="Arial"/>
        <family val="2"/>
      </rPr>
      <t>3 Years</t>
    </r>
  </si>
  <si>
    <t>Interest</t>
  </si>
  <si>
    <t>Excp Item</t>
  </si>
  <si>
    <t>Income Tax Assets (net)</t>
  </si>
  <si>
    <t>-</t>
  </si>
  <si>
    <t>Asset held for sale</t>
  </si>
  <si>
    <t>Short term Provisions</t>
  </si>
  <si>
    <t>Net Asset Turnover ratio</t>
  </si>
  <si>
    <t>Gross Asset Turnover ratio</t>
  </si>
  <si>
    <t>FY19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</si>
  <si>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</si>
  <si>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</si>
  <si>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</si>
  <si>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</si>
  <si>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</si>
  <si>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</si>
  <si>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</si>
  <si>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</si>
  <si>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</si>
  <si>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</si>
  <si>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</si>
  <si>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</si>
  <si>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</si>
  <si>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</si>
  <si>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</si>
  <si>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</si>
  <si>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</si>
  <si>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</si>
  <si>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</si>
  <si>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</si>
  <si>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</si>
  <si>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</si>
  <si>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</si>
  <si>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</si>
  <si>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3 years CAGR (%)</t>
  </si>
  <si>
    <t>Gravita India Ltd (Standalone)</t>
  </si>
  <si>
    <t>Gravita India Ltd. (Consolidated)</t>
  </si>
  <si>
    <t>Income Statement (INR Mn)</t>
  </si>
  <si>
    <t>Book Value per Share (INR)</t>
  </si>
  <si>
    <t>Right of use assets</t>
  </si>
  <si>
    <t>Lease Liabilities</t>
  </si>
  <si>
    <r>
      <t xml:space="preserve">CAGR (%) - </t>
    </r>
    <r>
      <rPr>
        <i/>
        <sz val="12"/>
        <color theme="1"/>
        <rFont val="Arial"/>
        <family val="2"/>
      </rPr>
      <t>3 Years</t>
    </r>
  </si>
  <si>
    <t>FY20</t>
  </si>
  <si>
    <t>Exceptional Items</t>
  </si>
  <si>
    <t>Non Controlling Interest</t>
  </si>
  <si>
    <t>Operational Income</t>
  </si>
  <si>
    <t>H1-FY21</t>
  </si>
  <si>
    <t>Adjusted EBITDA</t>
  </si>
  <si>
    <t>Adjusted EBITDA margin (%)</t>
  </si>
  <si>
    <t>Other Manufacturing expenses</t>
  </si>
  <si>
    <t xml:space="preserve">Excise Duty </t>
  </si>
  <si>
    <t>Short-term loans and advances</t>
  </si>
  <si>
    <t xml:space="preserve">Fairchem Organics Ltd. </t>
  </si>
  <si>
    <t>Non-current Tax Assets (Net)</t>
  </si>
  <si>
    <t>Other Financial Assets</t>
  </si>
  <si>
    <t xml:space="preserve">Other Equity </t>
  </si>
  <si>
    <t>Mahesh P Babani</t>
  </si>
  <si>
    <t>Promoter</t>
  </si>
  <si>
    <t>--</t>
  </si>
  <si>
    <t>Public</t>
  </si>
  <si>
    <t>Mahesh Purshottam Babani HUF</t>
  </si>
  <si>
    <t>Doppalapudi Bhaktavatsala Rao</t>
  </si>
  <si>
    <t>Rajesh Harichandra Budhrani</t>
  </si>
  <si>
    <t>Vinaykumar Doppalapudi Rao</t>
  </si>
  <si>
    <t>Vijaykumar Doppalapudi</t>
  </si>
  <si>
    <t>Rajkumar Doppalapudi</t>
  </si>
  <si>
    <t>Seema Mahesh Babani</t>
  </si>
  <si>
    <t>Jyoti Mahesh Babani</t>
  </si>
  <si>
    <t>Snehal Mahesh Babani</t>
  </si>
  <si>
    <t>FIH Mauritius Investments Ltd</t>
  </si>
  <si>
    <t>Prasanna Raj</t>
  </si>
  <si>
    <t>Premaleela Doppalapudi</t>
  </si>
  <si>
    <t>Sharon Doppalapudi</t>
  </si>
  <si>
    <t>Grace Vinaykumar</t>
  </si>
  <si>
    <t>Vivira Chemicals Private Limited</t>
  </si>
  <si>
    <t>Rameshbabu Gokarneswararao Guduru</t>
  </si>
  <si>
    <t>Utkarsh Bhikhoobhai Shah</t>
  </si>
  <si>
    <t>Fih Mauritius Investments Ltd</t>
  </si>
  <si>
    <t>Mahesh Purushottam Babani - HUF</t>
  </si>
  <si>
    <t>Nahoosh Tradelink Llp</t>
  </si>
  <si>
    <t>Jariwala Tradelink Llp</t>
  </si>
  <si>
    <t>Moneymart Securities Pvt Ltd</t>
  </si>
  <si>
    <t>Vivira Investment And Trading Pvt Ltd</t>
  </si>
  <si>
    <t>Grace Vinay Kumar Doppalapudi</t>
  </si>
  <si>
    <t>Fih Private Investments Ltd</t>
  </si>
  <si>
    <t>Nahoosh Tradelink LLP</t>
  </si>
  <si>
    <t>Jariwala Tradelink LLP</t>
  </si>
  <si>
    <t>FIH Private Investments Ltd</t>
  </si>
  <si>
    <t>Nahoosh Jariwala</t>
  </si>
  <si>
    <t>FY21</t>
  </si>
  <si>
    <t>CAGR (%) - 5 Years</t>
  </si>
  <si>
    <t>H1-FY22</t>
  </si>
  <si>
    <t>Peer Comparison Analysis - Fairchem Organics Ltd.</t>
  </si>
  <si>
    <t>Fairchem Organics Ltd.</t>
  </si>
  <si>
    <t>Godrej Industries</t>
  </si>
  <si>
    <t>Indo Amines</t>
  </si>
  <si>
    <t>JOCIL</t>
  </si>
  <si>
    <t>Fermenta</t>
  </si>
  <si>
    <t>P&amp;L Comparision (As on H1-FY22)</t>
  </si>
  <si>
    <t xml:space="preserve">CMP (As on 30tht September 2020) </t>
  </si>
  <si>
    <t>FY22</t>
  </si>
  <si>
    <t>Right to use assets</t>
  </si>
  <si>
    <t>FY23</t>
  </si>
  <si>
    <t>Other Manufacturing expenses(Powwer &amp; Fuel)</t>
  </si>
  <si>
    <t>Other Finacial Assetes</t>
  </si>
  <si>
    <t>CMP(Rs) (31st March)</t>
  </si>
  <si>
    <r>
      <t xml:space="preserve">CAGR (%) - </t>
    </r>
    <r>
      <rPr>
        <i/>
        <sz val="12"/>
        <color theme="1"/>
        <rFont val="Arial"/>
        <family val="2"/>
      </rPr>
      <t>5 Years</t>
    </r>
  </si>
  <si>
    <t xml:space="preserve">Total Non Current Assets </t>
  </si>
  <si>
    <t>Note:</t>
  </si>
  <si>
    <t>FY24</t>
  </si>
  <si>
    <t>Balance Sheet ratios are as in FY24 basis.</t>
  </si>
  <si>
    <t>Q1-FY25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</si>
</sst>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0000"/>
    <numFmt numFmtId="169" formatCode="#,##0.000"/>
    <numFmt numFmtId="170" formatCode="_ * #,##0.000_ ;_ * \-#,##0.000_ ;_ * &quot;-&quot;??_ ;_ @_ "/>
    <numFmt numFmtId="171" formatCode="_ * #,##0.0000_ ;_ * \-#,##0.0000_ ;_ * &quot;-&quot;??_ ;_ @_ "/>
    <numFmt numFmtId="173" formatCode="0.000"/>
  </numFmts>
  <fonts count="4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MyFirstFont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rgb="FFFFFFFF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i/>
      <sz val="12"/>
      <name val="Arial"/>
      <family val="2"/>
    </font>
    <font>
      <sz val="12"/>
      <color rgb="FF000000"/>
      <name val="MyFirstFont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282828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7F8FB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/>
      <top style="thin">
        <color rgb="FFE1E1E1"/>
      </top>
      <bottom/>
      <diagonal/>
    </border>
    <border>
      <left/>
      <right/>
      <top style="thin">
        <color rgb="FFE1E1E1"/>
      </top>
      <bottom/>
      <diagonal/>
    </border>
    <border>
      <left/>
      <right style="thin">
        <color rgb="FFA6A6A6"/>
      </right>
      <top style="thin">
        <color rgb="FFE1E1E1"/>
      </top>
      <bottom/>
      <diagonal/>
    </border>
    <border>
      <left style="thin">
        <color rgb="FFA6A6A6"/>
      </left>
      <right/>
      <top style="thin">
        <color rgb="FFE1E1E1"/>
      </top>
      <bottom style="thin">
        <color rgb="FFA6A6A6"/>
      </bottom>
      <diagonal/>
    </border>
    <border>
      <left/>
      <right/>
      <top style="thin">
        <color rgb="FFE1E1E1"/>
      </top>
      <bottom style="thin">
        <color rgb="FFA6A6A6"/>
      </bottom>
      <diagonal/>
    </border>
    <border>
      <left/>
      <right/>
      <top/>
      <bottom style="thin">
        <color rgb="FFE4E4E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4" fillId="3" borderId="1" xfId="0" applyFont="1" applyFill="1" applyBorder="1"/>
    <xf numFmtId="0" fontId="7" fillId="0" borderId="0" xfId="0" applyFont="1"/>
    <xf numFmtId="10" fontId="1" fillId="0" borderId="0" xfId="1" applyNumberFormat="1" applyFont="1"/>
    <xf numFmtId="164" fontId="10" fillId="0" borderId="1" xfId="0" applyNumberFormat="1" applyFont="1" applyBorder="1"/>
    <xf numFmtId="1" fontId="1" fillId="0" borderId="0" xfId="0" applyNumberFormat="1" applyFont="1"/>
    <xf numFmtId="0" fontId="4" fillId="0" borderId="2" xfId="0" applyFont="1" applyBorder="1"/>
    <xf numFmtId="0" fontId="10" fillId="0" borderId="0" xfId="0" applyFont="1"/>
    <xf numFmtId="164" fontId="10" fillId="0" borderId="0" xfId="0" applyNumberFormat="1" applyFont="1"/>
    <xf numFmtId="0" fontId="1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2" fontId="7" fillId="0" borderId="0" xfId="0" applyNumberFormat="1" applyFont="1"/>
    <xf numFmtId="164" fontId="1" fillId="0" borderId="0" xfId="0" applyNumberFormat="1" applyFont="1"/>
    <xf numFmtId="164" fontId="12" fillId="0" borderId="3" xfId="0" applyNumberFormat="1" applyFont="1" applyBorder="1" applyAlignment="1">
      <alignment horizontal="right"/>
    </xf>
    <xf numFmtId="0" fontId="10" fillId="0" borderId="1" xfId="0" applyFont="1" applyBorder="1"/>
    <xf numFmtId="0" fontId="3" fillId="4" borderId="1" xfId="0" applyFont="1" applyFill="1" applyBorder="1"/>
    <xf numFmtId="165" fontId="13" fillId="4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0" fontId="4" fillId="4" borderId="1" xfId="0" applyNumberFormat="1" applyFont="1" applyFill="1" applyBorder="1"/>
    <xf numFmtId="10" fontId="4" fillId="4" borderId="1" xfId="1" applyNumberFormat="1" applyFont="1" applyFill="1" applyBorder="1"/>
    <xf numFmtId="0" fontId="1" fillId="4" borderId="1" xfId="0" applyFont="1" applyFill="1" applyBorder="1"/>
    <xf numFmtId="165" fontId="1" fillId="4" borderId="1" xfId="0" applyNumberFormat="1" applyFont="1" applyFill="1" applyBorder="1"/>
    <xf numFmtId="2" fontId="1" fillId="4" borderId="1" xfId="0" applyNumberFormat="1" applyFont="1" applyFill="1" applyBorder="1"/>
    <xf numFmtId="43" fontId="1" fillId="4" borderId="1" xfId="2" applyFont="1" applyFill="1" applyBorder="1"/>
    <xf numFmtId="43" fontId="4" fillId="4" borderId="1" xfId="2" applyFont="1" applyFill="1" applyBorder="1"/>
    <xf numFmtId="164" fontId="1" fillId="4" borderId="1" xfId="0" applyNumberFormat="1" applyFont="1" applyFill="1" applyBorder="1"/>
    <xf numFmtId="0" fontId="10" fillId="4" borderId="1" xfId="0" applyFont="1" applyFill="1" applyBorder="1"/>
    <xf numFmtId="10" fontId="10" fillId="4" borderId="1" xfId="1" applyNumberFormat="1" applyFont="1" applyFill="1" applyBorder="1"/>
    <xf numFmtId="165" fontId="7" fillId="4" borderId="1" xfId="0" applyNumberFormat="1" applyFont="1" applyFill="1" applyBorder="1"/>
    <xf numFmtId="43" fontId="4" fillId="0" borderId="1" xfId="2" applyFont="1" applyBorder="1"/>
    <xf numFmtId="43" fontId="1" fillId="0" borderId="1" xfId="2" applyFont="1" applyBorder="1"/>
    <xf numFmtId="43" fontId="10" fillId="0" borderId="1" xfId="2" applyFont="1" applyFill="1" applyBorder="1"/>
    <xf numFmtId="167" fontId="4" fillId="0" borderId="1" xfId="2" applyNumberFormat="1" applyFont="1" applyBorder="1"/>
    <xf numFmtId="167" fontId="12" fillId="0" borderId="1" xfId="2" applyNumberFormat="1" applyFont="1" applyFill="1" applyBorder="1"/>
    <xf numFmtId="167" fontId="1" fillId="0" borderId="1" xfId="2" applyNumberFormat="1" applyFont="1" applyBorder="1"/>
    <xf numFmtId="167" fontId="10" fillId="0" borderId="1" xfId="2" applyNumberFormat="1" applyFont="1" applyFill="1" applyBorder="1"/>
    <xf numFmtId="167" fontId="4" fillId="4" borderId="1" xfId="2" applyNumberFormat="1" applyFont="1" applyFill="1" applyBorder="1"/>
    <xf numFmtId="167" fontId="12" fillId="4" borderId="1" xfId="2" applyNumberFormat="1" applyFont="1" applyFill="1" applyBorder="1"/>
    <xf numFmtId="167" fontId="10" fillId="0" borderId="1" xfId="2" applyNumberFormat="1" applyFont="1" applyBorder="1"/>
    <xf numFmtId="10" fontId="3" fillId="4" borderId="1" xfId="0" applyNumberFormat="1" applyFont="1" applyFill="1" applyBorder="1"/>
    <xf numFmtId="10" fontId="6" fillId="4" borderId="1" xfId="0" applyNumberFormat="1" applyFont="1" applyFill="1" applyBorder="1"/>
    <xf numFmtId="10" fontId="13" fillId="4" borderId="1" xfId="0" applyNumberFormat="1" applyFont="1" applyFill="1" applyBorder="1"/>
    <xf numFmtId="43" fontId="4" fillId="0" borderId="1" xfId="2" applyFont="1" applyFill="1" applyBorder="1"/>
    <xf numFmtId="43" fontId="12" fillId="0" borderId="1" xfId="2" applyFont="1" applyFill="1" applyBorder="1"/>
    <xf numFmtId="10" fontId="1" fillId="4" borderId="1" xfId="0" applyNumberFormat="1" applyFont="1" applyFill="1" applyBorder="1"/>
    <xf numFmtId="167" fontId="4" fillId="0" borderId="1" xfId="2" applyNumberFormat="1" applyFont="1" applyFill="1" applyBorder="1"/>
    <xf numFmtId="43" fontId="1" fillId="0" borderId="1" xfId="2" applyFont="1" applyFill="1" applyBorder="1"/>
    <xf numFmtId="167" fontId="1" fillId="4" borderId="1" xfId="2" applyNumberFormat="1" applyFont="1" applyFill="1" applyBorder="1"/>
    <xf numFmtId="167" fontId="10" fillId="4" borderId="1" xfId="2" applyNumberFormat="1" applyFont="1" applyFill="1" applyBorder="1"/>
    <xf numFmtId="166" fontId="10" fillId="0" borderId="1" xfId="2" applyNumberFormat="1" applyFont="1" applyFill="1" applyBorder="1"/>
    <xf numFmtId="167" fontId="10" fillId="0" borderId="3" xfId="2" applyNumberFormat="1" applyFont="1" applyBorder="1"/>
    <xf numFmtId="167" fontId="7" fillId="0" borderId="1" xfId="2" applyNumberFormat="1" applyFont="1" applyBorder="1"/>
    <xf numFmtId="167" fontId="7" fillId="0" borderId="0" xfId="2" applyNumberFormat="1" applyFont="1"/>
    <xf numFmtId="167" fontId="1" fillId="0" borderId="0" xfId="2" applyNumberFormat="1" applyFont="1"/>
    <xf numFmtId="167" fontId="10" fillId="0" borderId="0" xfId="2" applyNumberFormat="1" applyFont="1"/>
    <xf numFmtId="167" fontId="1" fillId="0" borderId="2" xfId="2" applyNumberFormat="1" applyFont="1" applyBorder="1"/>
    <xf numFmtId="167" fontId="12" fillId="0" borderId="3" xfId="2" applyNumberFormat="1" applyFont="1" applyFill="1" applyBorder="1"/>
    <xf numFmtId="43" fontId="12" fillId="0" borderId="1" xfId="2" applyFont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1" fontId="10" fillId="4" borderId="1" xfId="0" applyNumberFormat="1" applyFont="1" applyFill="1" applyBorder="1"/>
    <xf numFmtId="1" fontId="10" fillId="5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0" fillId="0" borderId="0" xfId="2" applyNumberFormat="1" applyFont="1" applyFill="1" applyBorder="1"/>
    <xf numFmtId="167" fontId="10" fillId="0" borderId="0" xfId="2" applyNumberFormat="1" applyFont="1" applyFill="1" applyBorder="1" applyAlignment="1">
      <alignment horizontal="right"/>
    </xf>
    <xf numFmtId="165" fontId="6" fillId="4" borderId="1" xfId="0" applyNumberFormat="1" applyFont="1" applyFill="1" applyBorder="1"/>
    <xf numFmtId="167" fontId="7" fillId="0" borderId="1" xfId="2" applyNumberFormat="1" applyFont="1" applyFill="1" applyBorder="1"/>
    <xf numFmtId="167" fontId="1" fillId="0" borderId="1" xfId="2" applyNumberFormat="1" applyFont="1" applyFill="1" applyBorder="1"/>
    <xf numFmtId="165" fontId="3" fillId="4" borderId="1" xfId="0" applyNumberFormat="1" applyFont="1" applyFill="1" applyBorder="1"/>
    <xf numFmtId="0" fontId="7" fillId="4" borderId="1" xfId="0" applyFont="1" applyFill="1" applyBorder="1"/>
    <xf numFmtId="168" fontId="10" fillId="4" borderId="1" xfId="0" applyNumberFormat="1" applyFont="1" applyFill="1" applyBorder="1"/>
    <xf numFmtId="166" fontId="10" fillId="4" borderId="1" xfId="0" applyNumberFormat="1" applyFont="1" applyFill="1" applyBorder="1"/>
    <xf numFmtId="0" fontId="7" fillId="0" borderId="1" xfId="0" applyFont="1" applyBorder="1"/>
    <xf numFmtId="166" fontId="1" fillId="4" borderId="1" xfId="0" applyNumberFormat="1" applyFont="1" applyFill="1" applyBorder="1"/>
    <xf numFmtId="43" fontId="1" fillId="0" borderId="0" xfId="0" applyNumberFormat="1" applyFont="1"/>
    <xf numFmtId="0" fontId="14" fillId="0" borderId="1" xfId="0" applyFont="1" applyBorder="1" applyAlignment="1">
      <alignment horizontal="right"/>
    </xf>
    <xf numFmtId="43" fontId="0" fillId="0" borderId="0" xfId="0" applyNumberFormat="1"/>
    <xf numFmtId="3" fontId="15" fillId="0" borderId="0" xfId="0" applyNumberFormat="1" applyFont="1"/>
    <xf numFmtId="3" fontId="15" fillId="0" borderId="1" xfId="0" applyNumberFormat="1" applyFont="1" applyBorder="1"/>
    <xf numFmtId="166" fontId="0" fillId="0" borderId="0" xfId="2" applyNumberFormat="1" applyFont="1"/>
    <xf numFmtId="166" fontId="7" fillId="0" borderId="0" xfId="0" applyNumberFormat="1" applyFont="1"/>
    <xf numFmtId="9" fontId="1" fillId="0" borderId="0" xfId="1" applyFont="1"/>
    <xf numFmtId="0" fontId="0" fillId="0" borderId="1" xfId="0" applyBorder="1"/>
    <xf numFmtId="0" fontId="16" fillId="7" borderId="1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24" fillId="0" borderId="8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1" xfId="0" applyFont="1" applyBorder="1"/>
    <xf numFmtId="0" fontId="28" fillId="0" borderId="1" xfId="0" applyFont="1" applyBorder="1"/>
    <xf numFmtId="167" fontId="29" fillId="0" borderId="1" xfId="2" applyNumberFormat="1" applyFont="1" applyFill="1" applyBorder="1"/>
    <xf numFmtId="0" fontId="30" fillId="0" borderId="0" xfId="0" applyFont="1"/>
    <xf numFmtId="0" fontId="25" fillId="4" borderId="1" xfId="0" applyFont="1" applyFill="1" applyBorder="1"/>
    <xf numFmtId="167" fontId="25" fillId="4" borderId="1" xfId="2" applyNumberFormat="1" applyFont="1" applyFill="1" applyBorder="1"/>
    <xf numFmtId="0" fontId="31" fillId="4" borderId="1" xfId="0" applyFont="1" applyFill="1" applyBorder="1"/>
    <xf numFmtId="165" fontId="32" fillId="4" borderId="1" xfId="0" applyNumberFormat="1" applyFont="1" applyFill="1" applyBorder="1"/>
    <xf numFmtId="10" fontId="31" fillId="4" borderId="1" xfId="0" applyNumberFormat="1" applyFont="1" applyFill="1" applyBorder="1"/>
    <xf numFmtId="10" fontId="32" fillId="4" borderId="1" xfId="0" applyNumberFormat="1" applyFont="1" applyFill="1" applyBorder="1"/>
    <xf numFmtId="167" fontId="26" fillId="4" borderId="1" xfId="2" applyNumberFormat="1" applyFont="1" applyFill="1" applyBorder="1"/>
    <xf numFmtId="167" fontId="30" fillId="0" borderId="1" xfId="2" applyNumberFormat="1" applyFont="1" applyFill="1" applyBorder="1"/>
    <xf numFmtId="167" fontId="28" fillId="0" borderId="1" xfId="2" applyNumberFormat="1" applyFont="1" applyFill="1" applyBorder="1"/>
    <xf numFmtId="0" fontId="28" fillId="0" borderId="0" xfId="0" applyFont="1"/>
    <xf numFmtId="10" fontId="25" fillId="4" borderId="1" xfId="0" applyNumberFormat="1" applyFont="1" applyFill="1" applyBorder="1"/>
    <xf numFmtId="10" fontId="25" fillId="4" borderId="1" xfId="1" applyNumberFormat="1" applyFont="1" applyFill="1" applyBorder="1"/>
    <xf numFmtId="164" fontId="29" fillId="0" borderId="1" xfId="0" applyNumberFormat="1" applyFont="1" applyBorder="1"/>
    <xf numFmtId="164" fontId="25" fillId="4" borderId="1" xfId="0" applyNumberFormat="1" applyFont="1" applyFill="1" applyBorder="1"/>
    <xf numFmtId="165" fontId="31" fillId="4" borderId="1" xfId="0" applyNumberFormat="1" applyFont="1" applyFill="1" applyBorder="1"/>
    <xf numFmtId="10" fontId="33" fillId="4" borderId="1" xfId="0" applyNumberFormat="1" applyFont="1" applyFill="1" applyBorder="1"/>
    <xf numFmtId="43" fontId="25" fillId="0" borderId="1" xfId="2" applyFont="1" applyFill="1" applyBorder="1"/>
    <xf numFmtId="0" fontId="28" fillId="4" borderId="1" xfId="0" applyFont="1" applyFill="1" applyBorder="1"/>
    <xf numFmtId="0" fontId="30" fillId="4" borderId="1" xfId="0" applyFont="1" applyFill="1" applyBorder="1"/>
    <xf numFmtId="10" fontId="28" fillId="4" borderId="1" xfId="0" applyNumberFormat="1" applyFont="1" applyFill="1" applyBorder="1"/>
    <xf numFmtId="165" fontId="30" fillId="4" borderId="1" xfId="0" applyNumberFormat="1" applyFont="1" applyFill="1" applyBorder="1"/>
    <xf numFmtId="165" fontId="28" fillId="4" borderId="1" xfId="0" applyNumberFormat="1" applyFont="1" applyFill="1" applyBorder="1"/>
    <xf numFmtId="0" fontId="25" fillId="0" borderId="0" xfId="0" applyFont="1"/>
    <xf numFmtId="167" fontId="25" fillId="0" borderId="1" xfId="2" applyNumberFormat="1" applyFont="1" applyFill="1" applyBorder="1"/>
    <xf numFmtId="0" fontId="25" fillId="3" borderId="1" xfId="0" applyFont="1" applyFill="1" applyBorder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7" fontId="28" fillId="4" borderId="1" xfId="2" applyNumberFormat="1" applyFont="1" applyFill="1" applyBorder="1"/>
    <xf numFmtId="167" fontId="29" fillId="4" borderId="1" xfId="2" applyNumberFormat="1" applyFont="1" applyFill="1" applyBorder="1"/>
    <xf numFmtId="43" fontId="25" fillId="4" borderId="1" xfId="2" applyFont="1" applyFill="1" applyBorder="1"/>
    <xf numFmtId="43" fontId="28" fillId="4" borderId="1" xfId="2" applyFont="1" applyFill="1" applyBorder="1"/>
    <xf numFmtId="43" fontId="28" fillId="0" borderId="1" xfId="2" applyFont="1" applyFill="1" applyBorder="1"/>
    <xf numFmtId="43" fontId="29" fillId="0" borderId="1" xfId="2" applyFont="1" applyFill="1" applyBorder="1"/>
    <xf numFmtId="166" fontId="29" fillId="0" borderId="1" xfId="2" applyNumberFormat="1" applyFont="1" applyFill="1" applyBorder="1"/>
    <xf numFmtId="2" fontId="28" fillId="4" borderId="1" xfId="0" applyNumberFormat="1" applyFont="1" applyFill="1" applyBorder="1"/>
    <xf numFmtId="10" fontId="28" fillId="4" borderId="1" xfId="1" applyNumberFormat="1" applyFont="1" applyFill="1" applyBorder="1"/>
    <xf numFmtId="10" fontId="29" fillId="4" borderId="1" xfId="1" applyNumberFormat="1" applyFont="1" applyFill="1" applyBorder="1"/>
    <xf numFmtId="1" fontId="28" fillId="4" borderId="1" xfId="0" applyNumberFormat="1" applyFont="1" applyFill="1" applyBorder="1"/>
    <xf numFmtId="1" fontId="29" fillId="4" borderId="1" xfId="0" applyNumberFormat="1" applyFont="1" applyFill="1" applyBorder="1"/>
    <xf numFmtId="0" fontId="26" fillId="0" borderId="1" xfId="0" applyFont="1" applyBorder="1" applyAlignment="1">
      <alignment horizontal="right"/>
    </xf>
    <xf numFmtId="43" fontId="28" fillId="0" borderId="0" xfId="0" applyNumberFormat="1" applyFont="1"/>
    <xf numFmtId="0" fontId="37" fillId="0" borderId="0" xfId="0" applyFont="1"/>
    <xf numFmtId="0" fontId="16" fillId="0" borderId="1" xfId="0" applyFont="1" applyBorder="1"/>
    <xf numFmtId="0" fontId="16" fillId="5" borderId="1" xfId="0" applyFont="1" applyFill="1" applyBorder="1"/>
    <xf numFmtId="0" fontId="28" fillId="0" borderId="1" xfId="0" applyFont="1" applyBorder="1" applyAlignment="1">
      <alignment wrapText="1"/>
    </xf>
    <xf numFmtId="167" fontId="29" fillId="0" borderId="5" xfId="2" applyNumberFormat="1" applyFont="1" applyFill="1" applyBorder="1"/>
    <xf numFmtId="164" fontId="29" fillId="0" borderId="5" xfId="0" applyNumberFormat="1" applyFont="1" applyBorder="1"/>
    <xf numFmtId="43" fontId="26" fillId="0" borderId="5" xfId="2" applyFont="1" applyFill="1" applyBorder="1"/>
    <xf numFmtId="167" fontId="25" fillId="0" borderId="0" xfId="2" applyNumberFormat="1" applyFont="1" applyFill="1" applyBorder="1"/>
    <xf numFmtId="0" fontId="26" fillId="0" borderId="0" xfId="0" applyFont="1" applyAlignment="1">
      <alignment horizontal="center"/>
    </xf>
    <xf numFmtId="0" fontId="28" fillId="5" borderId="1" xfId="0" applyFont="1" applyFill="1" applyBorder="1"/>
    <xf numFmtId="167" fontId="26" fillId="0" borderId="1" xfId="2" applyNumberFormat="1" applyFont="1" applyFill="1" applyBorder="1"/>
    <xf numFmtId="164" fontId="28" fillId="0" borderId="1" xfId="0" applyNumberFormat="1" applyFont="1" applyBorder="1"/>
    <xf numFmtId="164" fontId="25" fillId="0" borderId="1" xfId="0" applyNumberFormat="1" applyFont="1" applyBorder="1"/>
    <xf numFmtId="43" fontId="26" fillId="0" borderId="1" xfId="2" applyFont="1" applyFill="1" applyBorder="1"/>
    <xf numFmtId="10" fontId="28" fillId="0" borderId="1" xfId="0" applyNumberFormat="1" applyFont="1" applyBorder="1"/>
    <xf numFmtId="165" fontId="28" fillId="0" borderId="1" xfId="0" applyNumberFormat="1" applyFont="1" applyBorder="1"/>
    <xf numFmtId="3" fontId="34" fillId="0" borderId="1" xfId="0" applyNumberFormat="1" applyFont="1" applyBorder="1"/>
    <xf numFmtId="0" fontId="25" fillId="0" borderId="1" xfId="0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43" fontId="25" fillId="0" borderId="3" xfId="2" applyFont="1" applyFill="1" applyBorder="1"/>
    <xf numFmtId="2" fontId="28" fillId="0" borderId="1" xfId="0" applyNumberFormat="1" applyFont="1" applyBorder="1"/>
    <xf numFmtId="10" fontId="28" fillId="0" borderId="1" xfId="1" applyNumberFormat="1" applyFont="1" applyFill="1" applyBorder="1"/>
    <xf numFmtId="10" fontId="29" fillId="0" borderId="1" xfId="1" applyNumberFormat="1" applyFont="1" applyFill="1" applyBorder="1"/>
    <xf numFmtId="1" fontId="28" fillId="0" borderId="1" xfId="0" applyNumberFormat="1" applyFont="1" applyBorder="1"/>
    <xf numFmtId="1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0" fontId="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5" fillId="0" borderId="2" xfId="0" applyFont="1" applyBorder="1"/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right"/>
    </xf>
    <xf numFmtId="164" fontId="25" fillId="0" borderId="5" xfId="0" applyNumberFormat="1" applyFont="1" applyBorder="1"/>
    <xf numFmtId="167" fontId="21" fillId="0" borderId="1" xfId="2" applyNumberFormat="1" applyFont="1" applyFill="1" applyBorder="1"/>
    <xf numFmtId="167" fontId="20" fillId="0" borderId="1" xfId="2" applyNumberFormat="1" applyFont="1" applyFill="1" applyBorder="1"/>
    <xf numFmtId="167" fontId="25" fillId="0" borderId="5" xfId="2" applyNumberFormat="1" applyFont="1" applyFill="1" applyBorder="1"/>
    <xf numFmtId="10" fontId="31" fillId="0" borderId="5" xfId="0" applyNumberFormat="1" applyFont="1" applyBorder="1"/>
    <xf numFmtId="165" fontId="33" fillId="0" borderId="5" xfId="0" applyNumberFormat="1" applyFont="1" applyBorder="1"/>
    <xf numFmtId="167" fontId="19" fillId="0" borderId="1" xfId="2" applyNumberFormat="1" applyFont="1" applyFill="1" applyBorder="1"/>
    <xf numFmtId="10" fontId="25" fillId="0" borderId="5" xfId="0" applyNumberFormat="1" applyFont="1" applyBorder="1"/>
    <xf numFmtId="167" fontId="26" fillId="0" borderId="5" xfId="2" applyNumberFormat="1" applyFont="1" applyFill="1" applyBorder="1"/>
    <xf numFmtId="10" fontId="25" fillId="0" borderId="5" xfId="1" applyNumberFormat="1" applyFont="1" applyFill="1" applyBorder="1"/>
    <xf numFmtId="10" fontId="33" fillId="0" borderId="5" xfId="0" applyNumberFormat="1" applyFont="1" applyBorder="1"/>
    <xf numFmtId="10" fontId="28" fillId="0" borderId="5" xfId="0" applyNumberFormat="1" applyFont="1" applyBorder="1"/>
    <xf numFmtId="165" fontId="29" fillId="0" borderId="5" xfId="1" applyNumberFormat="1" applyFont="1" applyFill="1" applyBorder="1"/>
    <xf numFmtId="0" fontId="25" fillId="0" borderId="0" xfId="0" applyFont="1" applyAlignment="1">
      <alignment horizontal="center"/>
    </xf>
    <xf numFmtId="167" fontId="28" fillId="0" borderId="0" xfId="2" applyNumberFormat="1" applyFont="1" applyFill="1" applyBorder="1"/>
    <xf numFmtId="167" fontId="29" fillId="0" borderId="0" xfId="2" applyNumberFormat="1" applyFont="1" applyFill="1" applyBorder="1"/>
    <xf numFmtId="0" fontId="20" fillId="0" borderId="1" xfId="0" applyFont="1" applyBorder="1"/>
    <xf numFmtId="167" fontId="26" fillId="0" borderId="0" xfId="2" applyNumberFormat="1" applyFont="1" applyFill="1" applyBorder="1"/>
    <xf numFmtId="3" fontId="34" fillId="0" borderId="0" xfId="0" applyNumberFormat="1" applyFont="1"/>
    <xf numFmtId="0" fontId="35" fillId="0" borderId="0" xfId="0" applyFont="1"/>
    <xf numFmtId="165" fontId="33" fillId="4" borderId="1" xfId="0" applyNumberFormat="1" applyFont="1" applyFill="1" applyBorder="1"/>
    <xf numFmtId="165" fontId="29" fillId="4" borderId="1" xfId="1" applyNumberFormat="1" applyFont="1" applyFill="1" applyBorder="1"/>
    <xf numFmtId="44" fontId="29" fillId="4" borderId="1" xfId="2" applyNumberFormat="1" applyFont="1" applyFill="1" applyBorder="1"/>
    <xf numFmtId="167" fontId="18" fillId="4" borderId="1" xfId="2" applyNumberFormat="1" applyFont="1" applyFill="1" applyBorder="1"/>
    <xf numFmtId="167" fontId="19" fillId="4" borderId="1" xfId="2" applyNumberFormat="1" applyFont="1" applyFill="1" applyBorder="1"/>
    <xf numFmtId="43" fontId="26" fillId="4" borderId="1" xfId="2" applyFont="1" applyFill="1" applyBorder="1"/>
    <xf numFmtId="0" fontId="27" fillId="0" borderId="8" xfId="0" applyFont="1" applyBorder="1"/>
    <xf numFmtId="0" fontId="27" fillId="0" borderId="4" xfId="0" applyFont="1" applyBorder="1"/>
    <xf numFmtId="167" fontId="27" fillId="0" borderId="4" xfId="2" applyNumberFormat="1" applyFont="1" applyFill="1" applyBorder="1"/>
    <xf numFmtId="10" fontId="32" fillId="0" borderId="4" xfId="0" applyNumberFormat="1" applyFont="1" applyBorder="1"/>
    <xf numFmtId="165" fontId="32" fillId="0" borderId="4" xfId="0" applyNumberFormat="1" applyFont="1" applyBorder="1"/>
    <xf numFmtId="10" fontId="27" fillId="0" borderId="4" xfId="0" applyNumberFormat="1" applyFont="1" applyBorder="1"/>
    <xf numFmtId="167" fontId="30" fillId="0" borderId="4" xfId="2" applyNumberFormat="1" applyFont="1" applyFill="1" applyBorder="1"/>
    <xf numFmtId="10" fontId="27" fillId="0" borderId="4" xfId="1" applyNumberFormat="1" applyFont="1" applyFill="1" applyBorder="1"/>
    <xf numFmtId="164" fontId="30" fillId="0" borderId="4" xfId="0" applyNumberFormat="1" applyFont="1" applyBorder="1"/>
    <xf numFmtId="164" fontId="27" fillId="0" borderId="4" xfId="0" applyNumberFormat="1" applyFont="1" applyBorder="1"/>
    <xf numFmtId="43" fontId="27" fillId="0" borderId="4" xfId="2" applyFont="1" applyFill="1" applyBorder="1"/>
    <xf numFmtId="10" fontId="30" fillId="0" borderId="4" xfId="0" applyNumberFormat="1" applyFont="1" applyBorder="1"/>
    <xf numFmtId="165" fontId="30" fillId="0" borderId="4" xfId="1" applyNumberFormat="1" applyFont="1" applyFill="1" applyBorder="1"/>
    <xf numFmtId="43" fontId="18" fillId="4" borderId="1" xfId="2" applyFont="1" applyFill="1" applyBorder="1"/>
    <xf numFmtId="43" fontId="20" fillId="0" borderId="1" xfId="2" applyFont="1" applyFill="1" applyBorder="1"/>
    <xf numFmtId="43" fontId="21" fillId="0" borderId="1" xfId="2" applyFont="1" applyFill="1" applyBorder="1"/>
    <xf numFmtId="1" fontId="29" fillId="9" borderId="1" xfId="0" applyNumberFormat="1" applyFont="1" applyFill="1" applyBorder="1"/>
    <xf numFmtId="10" fontId="28" fillId="9" borderId="1" xfId="0" applyNumberFormat="1" applyFont="1" applyFill="1" applyBorder="1"/>
    <xf numFmtId="10" fontId="0" fillId="0" borderId="0" xfId="1" applyNumberFormat="1" applyFont="1"/>
    <xf numFmtId="0" fontId="16" fillId="0" borderId="0" xfId="0" applyFont="1"/>
    <xf numFmtId="0" fontId="16" fillId="5" borderId="0" xfId="0" applyFont="1" applyFill="1" applyAlignment="1">
      <alignment horizontal="left"/>
    </xf>
    <xf numFmtId="0" fontId="37" fillId="5" borderId="0" xfId="0" applyFont="1" applyFill="1"/>
    <xf numFmtId="2" fontId="37" fillId="0" borderId="0" xfId="0" applyNumberFormat="1" applyFont="1"/>
    <xf numFmtId="10" fontId="37" fillId="0" borderId="0" xfId="1" applyNumberFormat="1" applyFont="1" applyFill="1" applyBorder="1"/>
    <xf numFmtId="2" fontId="16" fillId="0" borderId="0" xfId="0" applyNumberFormat="1" applyFont="1"/>
    <xf numFmtId="10" fontId="16" fillId="0" borderId="0" xfId="1" applyNumberFormat="1" applyFont="1" applyFill="1" applyBorder="1"/>
    <xf numFmtId="0" fontId="16" fillId="0" borderId="0" xfId="0" applyFont="1" applyAlignment="1">
      <alignment horizontal="left"/>
    </xf>
    <xf numFmtId="4" fontId="37" fillId="0" borderId="0" xfId="0" applyNumberFormat="1" applyFont="1"/>
    <xf numFmtId="0" fontId="37" fillId="0" borderId="0" xfId="0" applyFont="1" applyAlignment="1">
      <alignment horizontal="center"/>
    </xf>
    <xf numFmtId="43" fontId="37" fillId="0" borderId="0" xfId="0" applyNumberFormat="1" applyFont="1"/>
    <xf numFmtId="1" fontId="37" fillId="0" borderId="0" xfId="0" applyNumberFormat="1" applyFont="1"/>
    <xf numFmtId="1" fontId="37" fillId="0" borderId="0" xfId="2" applyNumberFormat="1" applyFont="1" applyFill="1" applyBorder="1"/>
    <xf numFmtId="2" fontId="37" fillId="0" borderId="0" xfId="2" applyNumberFormat="1" applyFont="1" applyFill="1" applyBorder="1"/>
    <xf numFmtId="0" fontId="16" fillId="0" borderId="0" xfId="0" applyFont="1" applyAlignment="1">
      <alignment horizontal="center"/>
    </xf>
    <xf numFmtId="167" fontId="1" fillId="0" borderId="0" xfId="0" applyNumberFormat="1" applyFont="1"/>
    <xf numFmtId="10" fontId="28" fillId="0" borderId="0" xfId="1" applyNumberFormat="1" applyFont="1" applyFill="1"/>
    <xf numFmtId="166" fontId="30" fillId="0" borderId="0" xfId="2" applyNumberFormat="1" applyFont="1" applyFill="1"/>
    <xf numFmtId="10" fontId="28" fillId="0" borderId="0" xfId="1" applyNumberFormat="1" applyFont="1"/>
    <xf numFmtId="1" fontId="28" fillId="0" borderId="0" xfId="2" applyNumberFormat="1" applyFont="1"/>
    <xf numFmtId="1" fontId="34" fillId="8" borderId="0" xfId="0" applyNumberFormat="1" applyFont="1" applyFill="1" applyAlignment="1">
      <alignment horizontal="right" wrapText="1" indent="1"/>
    </xf>
    <xf numFmtId="1" fontId="28" fillId="0" borderId="0" xfId="1" applyNumberFormat="1" applyFont="1"/>
    <xf numFmtId="10" fontId="37" fillId="0" borderId="0" xfId="0" applyNumberFormat="1" applyFont="1"/>
    <xf numFmtId="0" fontId="23" fillId="0" borderId="0" xfId="0" applyFont="1" applyAlignment="1">
      <alignment horizontal="left"/>
    </xf>
    <xf numFmtId="167" fontId="28" fillId="0" borderId="0" xfId="0" applyNumberFormat="1" applyFont="1"/>
    <xf numFmtId="164" fontId="29" fillId="0" borderId="0" xfId="0" applyNumberFormat="1" applyFont="1"/>
    <xf numFmtId="0" fontId="28" fillId="0" borderId="10" xfId="0" applyFont="1" applyBorder="1"/>
    <xf numFmtId="0" fontId="36" fillId="0" borderId="3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1" fontId="30" fillId="0" borderId="0" xfId="0" applyNumberFormat="1" applyFont="1"/>
    <xf numFmtId="1" fontId="7" fillId="0" borderId="0" xfId="0" applyNumberFormat="1" applyFont="1"/>
    <xf numFmtId="43" fontId="7" fillId="0" borderId="0" xfId="0" applyNumberFormat="1" applyFont="1"/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8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6" fillId="0" borderId="1" xfId="0" applyFont="1" applyBorder="1"/>
    <xf numFmtId="164" fontId="28" fillId="4" borderId="1" xfId="0" applyNumberFormat="1" applyFont="1" applyFill="1" applyBorder="1"/>
    <xf numFmtId="0" fontId="28" fillId="0" borderId="1" xfId="0" applyFont="1" applyBorder="1" applyAlignment="1">
      <alignment horizontal="left" wrapText="1"/>
    </xf>
    <xf numFmtId="0" fontId="40" fillId="11" borderId="12" xfId="0" applyFont="1" applyFill="1" applyBorder="1" applyAlignment="1">
      <alignment wrapText="1"/>
    </xf>
    <xf numFmtId="0" fontId="40" fillId="11" borderId="13" xfId="0" applyFont="1" applyFill="1" applyBorder="1" applyAlignment="1">
      <alignment wrapText="1"/>
    </xf>
    <xf numFmtId="0" fontId="40" fillId="11" borderId="13" xfId="0" quotePrefix="1" applyFont="1" applyFill="1" applyBorder="1" applyAlignment="1">
      <alignment wrapText="1"/>
    </xf>
    <xf numFmtId="0" fontId="40" fillId="11" borderId="14" xfId="0" quotePrefix="1" applyFont="1" applyFill="1" applyBorder="1" applyAlignment="1">
      <alignment wrapText="1"/>
    </xf>
    <xf numFmtId="0" fontId="40" fillId="8" borderId="12" xfId="0" applyFont="1" applyFill="1" applyBorder="1" applyAlignment="1">
      <alignment wrapText="1"/>
    </xf>
    <xf numFmtId="0" fontId="40" fillId="8" borderId="13" xfId="0" applyFont="1" applyFill="1" applyBorder="1" applyAlignment="1">
      <alignment wrapText="1"/>
    </xf>
    <xf numFmtId="0" fontId="40" fillId="8" borderId="13" xfId="0" quotePrefix="1" applyFont="1" applyFill="1" applyBorder="1" applyAlignment="1">
      <alignment wrapText="1"/>
    </xf>
    <xf numFmtId="0" fontId="40" fillId="8" borderId="14" xfId="0" quotePrefix="1" applyFont="1" applyFill="1" applyBorder="1" applyAlignment="1">
      <alignment wrapText="1"/>
    </xf>
    <xf numFmtId="0" fontId="40" fillId="8" borderId="15" xfId="0" applyFont="1" applyFill="1" applyBorder="1" applyAlignment="1">
      <alignment wrapText="1"/>
    </xf>
    <xf numFmtId="0" fontId="40" fillId="8" borderId="16" xfId="0" applyFont="1" applyFill="1" applyBorder="1" applyAlignment="1">
      <alignment wrapText="1"/>
    </xf>
    <xf numFmtId="0" fontId="0" fillId="0" borderId="0" xfId="0" applyAlignment="1">
      <alignment wrapText="1"/>
    </xf>
    <xf numFmtId="0" fontId="41" fillId="12" borderId="17" xfId="0" applyFont="1" applyFill="1" applyBorder="1" applyAlignment="1">
      <alignment wrapText="1"/>
    </xf>
    <xf numFmtId="10" fontId="41" fillId="12" borderId="17" xfId="0" applyNumberFormat="1" applyFont="1" applyFill="1" applyBorder="1" applyAlignment="1">
      <alignment wrapText="1"/>
    </xf>
    <xf numFmtId="9" fontId="41" fillId="12" borderId="17" xfId="0" applyNumberFormat="1" applyFont="1" applyFill="1" applyBorder="1" applyAlignment="1">
      <alignment wrapText="1"/>
    </xf>
    <xf numFmtId="0" fontId="41" fillId="12" borderId="0" xfId="0" applyFont="1" applyFill="1" applyAlignment="1">
      <alignment wrapText="1"/>
    </xf>
    <xf numFmtId="9" fontId="41" fillId="12" borderId="0" xfId="0" applyNumberFormat="1" applyFont="1" applyFill="1" applyAlignment="1">
      <alignment wrapText="1"/>
    </xf>
    <xf numFmtId="10" fontId="0" fillId="0" borderId="0" xfId="0" applyNumberFormat="1"/>
    <xf numFmtId="10" fontId="41" fillId="12" borderId="0" xfId="0" applyNumberFormat="1" applyFont="1" applyFill="1" applyAlignment="1">
      <alignment wrapText="1"/>
    </xf>
    <xf numFmtId="169" fontId="25" fillId="0" borderId="1" xfId="0" applyNumberFormat="1" applyFont="1" applyBorder="1"/>
    <xf numFmtId="169" fontId="28" fillId="0" borderId="1" xfId="0" applyNumberFormat="1" applyFont="1" applyBorder="1"/>
    <xf numFmtId="169" fontId="28" fillId="0" borderId="1" xfId="0" applyNumberFormat="1" applyFont="1" applyBorder="1" applyAlignment="1">
      <alignment wrapText="1"/>
    </xf>
    <xf numFmtId="170" fontId="29" fillId="0" borderId="1" xfId="2" applyNumberFormat="1" applyFont="1" applyFill="1" applyBorder="1"/>
    <xf numFmtId="170" fontId="26" fillId="0" borderId="1" xfId="2" applyNumberFormat="1" applyFont="1" applyFill="1" applyBorder="1"/>
    <xf numFmtId="170" fontId="25" fillId="4" borderId="1" xfId="2" applyNumberFormat="1" applyFont="1" applyFill="1" applyBorder="1"/>
    <xf numFmtId="170" fontId="31" fillId="4" borderId="1" xfId="0" applyNumberFormat="1" applyFont="1" applyFill="1" applyBorder="1"/>
    <xf numFmtId="170" fontId="28" fillId="5" borderId="1" xfId="2" applyNumberFormat="1" applyFont="1" applyFill="1" applyBorder="1"/>
    <xf numFmtId="170" fontId="25" fillId="4" borderId="1" xfId="0" applyNumberFormat="1" applyFont="1" applyFill="1" applyBorder="1"/>
    <xf numFmtId="170" fontId="26" fillId="4" borderId="1" xfId="2" applyNumberFormat="1" applyFont="1" applyFill="1" applyBorder="1"/>
    <xf numFmtId="170" fontId="29" fillId="0" borderId="1" xfId="0" applyNumberFormat="1" applyFont="1" applyBorder="1"/>
    <xf numFmtId="170" fontId="33" fillId="4" borderId="1" xfId="0" applyNumberFormat="1" applyFont="1" applyFill="1" applyBorder="1"/>
    <xf numFmtId="170" fontId="28" fillId="4" borderId="1" xfId="0" applyNumberFormat="1" applyFont="1" applyFill="1" applyBorder="1"/>
    <xf numFmtId="170" fontId="7" fillId="0" borderId="0" xfId="0" applyNumberFormat="1" applyFont="1"/>
    <xf numFmtId="170" fontId="28" fillId="0" borderId="0" xfId="0" applyNumberFormat="1" applyFont="1"/>
    <xf numFmtId="170" fontId="28" fillId="0" borderId="0" xfId="1" applyNumberFormat="1" applyFont="1" applyFill="1"/>
    <xf numFmtId="170" fontId="30" fillId="0" borderId="0" xfId="2" applyNumberFormat="1" applyFont="1" applyFill="1"/>
    <xf numFmtId="170" fontId="25" fillId="0" borderId="1" xfId="0" applyNumberFormat="1" applyFont="1" applyBorder="1" applyAlignment="1">
      <alignment horizontal="center"/>
    </xf>
    <xf numFmtId="170" fontId="25" fillId="0" borderId="1" xfId="2" applyNumberFormat="1" applyFont="1" applyFill="1" applyBorder="1"/>
    <xf numFmtId="170" fontId="28" fillId="0" borderId="1" xfId="2" applyNumberFormat="1" applyFont="1" applyFill="1" applyBorder="1"/>
    <xf numFmtId="170" fontId="30" fillId="0" borderId="0" xfId="0" applyNumberFormat="1" applyFont="1"/>
    <xf numFmtId="170" fontId="26" fillId="0" borderId="1" xfId="0" applyNumberFormat="1" applyFont="1" applyBorder="1" applyAlignment="1">
      <alignment horizontal="center"/>
    </xf>
    <xf numFmtId="170" fontId="28" fillId="0" borderId="0" xfId="0" applyNumberFormat="1" applyFont="1" applyAlignment="1">
      <alignment horizontal="center"/>
    </xf>
    <xf numFmtId="170" fontId="28" fillId="0" borderId="8" xfId="0" applyNumberFormat="1" applyFont="1" applyBorder="1" applyAlignment="1">
      <alignment horizontal="center"/>
    </xf>
    <xf numFmtId="170" fontId="29" fillId="4" borderId="1" xfId="2" applyNumberFormat="1" applyFont="1" applyFill="1" applyBorder="1"/>
    <xf numFmtId="169" fontId="25" fillId="4" borderId="1" xfId="2" applyNumberFormat="1" applyFont="1" applyFill="1" applyBorder="1"/>
    <xf numFmtId="169" fontId="31" fillId="4" borderId="1" xfId="0" applyNumberFormat="1" applyFont="1" applyFill="1" applyBorder="1"/>
    <xf numFmtId="169" fontId="25" fillId="4" borderId="1" xfId="0" applyNumberFormat="1" applyFont="1" applyFill="1" applyBorder="1"/>
    <xf numFmtId="169" fontId="26" fillId="4" borderId="1" xfId="2" applyNumberFormat="1" applyFont="1" applyFill="1" applyBorder="1"/>
    <xf numFmtId="169" fontId="28" fillId="4" borderId="1" xfId="0" applyNumberFormat="1" applyFont="1" applyFill="1" applyBorder="1"/>
    <xf numFmtId="169" fontId="1" fillId="0" borderId="0" xfId="0" applyNumberFormat="1" applyFont="1"/>
    <xf numFmtId="169" fontId="28" fillId="0" borderId="0" xfId="0" applyNumberFormat="1" applyFont="1"/>
    <xf numFmtId="169" fontId="25" fillId="0" borderId="0" xfId="0" applyNumberFormat="1" applyFont="1"/>
    <xf numFmtId="169" fontId="25" fillId="0" borderId="1" xfId="0" applyNumberFormat="1" applyFont="1" applyBorder="1" applyAlignment="1">
      <alignment horizontal="center"/>
    </xf>
    <xf numFmtId="169" fontId="25" fillId="3" borderId="1" xfId="0" applyNumberFormat="1" applyFont="1" applyFill="1" applyBorder="1"/>
    <xf numFmtId="169" fontId="28" fillId="0" borderId="0" xfId="0" applyNumberFormat="1" applyFont="1" applyAlignment="1">
      <alignment horizontal="center"/>
    </xf>
    <xf numFmtId="169" fontId="28" fillId="0" borderId="8" xfId="0" applyNumberFormat="1" applyFont="1" applyBorder="1" applyAlignment="1">
      <alignment horizontal="center"/>
    </xf>
    <xf numFmtId="169" fontId="28" fillId="5" borderId="1" xfId="0" applyNumberFormat="1" applyFont="1" applyFill="1" applyBorder="1"/>
    <xf numFmtId="170" fontId="28" fillId="0" borderId="1" xfId="0" applyNumberFormat="1" applyFont="1" applyBorder="1"/>
    <xf numFmtId="170" fontId="29" fillId="0" borderId="3" xfId="2" applyNumberFormat="1" applyFont="1" applyFill="1" applyBorder="1"/>
    <xf numFmtId="170" fontId="28" fillId="0" borderId="3" xfId="2" applyNumberFormat="1" applyFont="1" applyFill="1" applyBorder="1"/>
    <xf numFmtId="170" fontId="25" fillId="4" borderId="3" xfId="2" applyNumberFormat="1" applyFont="1" applyFill="1" applyBorder="1"/>
    <xf numFmtId="170" fontId="29" fillId="0" borderId="3" xfId="2" applyNumberFormat="1" applyFont="1" applyFill="1" applyBorder="1" applyAlignment="1">
      <alignment horizontal="center"/>
    </xf>
    <xf numFmtId="170" fontId="26" fillId="0" borderId="3" xfId="2" applyNumberFormat="1" applyFont="1" applyFill="1" applyBorder="1"/>
    <xf numFmtId="170" fontId="26" fillId="4" borderId="3" xfId="2" applyNumberFormat="1" applyFont="1" applyFill="1" applyBorder="1"/>
    <xf numFmtId="171" fontId="25" fillId="4" borderId="1" xfId="2" applyNumberFormat="1" applyFont="1" applyFill="1" applyBorder="1"/>
    <xf numFmtId="171" fontId="25" fillId="4" borderId="3" xfId="2" applyNumberFormat="1" applyFont="1" applyFill="1" applyBorder="1"/>
    <xf numFmtId="171" fontId="28" fillId="4" borderId="1" xfId="2" applyNumberFormat="1" applyFont="1" applyFill="1" applyBorder="1"/>
    <xf numFmtId="171" fontId="28" fillId="4" borderId="3" xfId="2" applyNumberFormat="1" applyFont="1" applyFill="1" applyBorder="1"/>
    <xf numFmtId="171" fontId="29" fillId="0" borderId="1" xfId="2" applyNumberFormat="1" applyFont="1" applyFill="1" applyBorder="1"/>
    <xf numFmtId="171" fontId="29" fillId="0" borderId="3" xfId="2" applyNumberFormat="1" applyFont="1" applyFill="1" applyBorder="1"/>
    <xf numFmtId="171" fontId="28" fillId="0" borderId="1" xfId="0" applyNumberFormat="1" applyFont="1" applyBorder="1"/>
    <xf numFmtId="171" fontId="29" fillId="0" borderId="1" xfId="1" applyNumberFormat="1" applyFont="1" applyFill="1" applyBorder="1"/>
    <xf numFmtId="171" fontId="29" fillId="0" borderId="3" xfId="1" applyNumberFormat="1" applyFont="1" applyFill="1" applyBorder="1"/>
    <xf numFmtId="171" fontId="29" fillId="0" borderId="1" xfId="0" applyNumberFormat="1" applyFont="1" applyBorder="1"/>
    <xf numFmtId="171" fontId="29" fillId="4" borderId="1" xfId="0" applyNumberFormat="1" applyFont="1" applyFill="1" applyBorder="1"/>
    <xf numFmtId="171" fontId="29" fillId="4" borderId="1" xfId="1" applyNumberFormat="1" applyFont="1" applyFill="1" applyBorder="1"/>
    <xf numFmtId="171" fontId="28" fillId="4" borderId="1" xfId="0" applyNumberFormat="1" applyFont="1" applyFill="1" applyBorder="1"/>
    <xf numFmtId="4" fontId="25" fillId="0" borderId="1" xfId="0" applyNumberFormat="1" applyFont="1" applyBorder="1"/>
    <xf numFmtId="4" fontId="28" fillId="0" borderId="1" xfId="0" applyNumberFormat="1" applyFont="1" applyBorder="1"/>
    <xf numFmtId="4" fontId="28" fillId="0" borderId="1" xfId="0" applyNumberFormat="1" applyFont="1" applyBorder="1" applyAlignment="1">
      <alignment wrapText="1"/>
    </xf>
    <xf numFmtId="166" fontId="29" fillId="0" borderId="0" xfId="2" applyNumberFormat="1" applyFont="1" applyFill="1" applyBorder="1"/>
    <xf numFmtId="167" fontId="25" fillId="0" borderId="11" xfId="2" applyNumberFormat="1" applyFont="1" applyFill="1" applyBorder="1"/>
    <xf numFmtId="43" fontId="28" fillId="0" borderId="1" xfId="0" applyNumberFormat="1" applyFont="1" applyBorder="1"/>
    <xf numFmtId="43" fontId="28" fillId="0" borderId="3" xfId="0" applyNumberFormat="1" applyFont="1" applyBorder="1"/>
    <xf numFmtId="43" fontId="29" fillId="0" borderId="1" xfId="0" applyNumberFormat="1" applyFont="1" applyBorder="1"/>
    <xf numFmtId="43" fontId="29" fillId="0" borderId="3" xfId="0" applyNumberFormat="1" applyFont="1" applyBorder="1"/>
    <xf numFmtId="43" fontId="29" fillId="4" borderId="1" xfId="0" applyNumberFormat="1" applyFont="1" applyFill="1" applyBorder="1"/>
    <xf numFmtId="43" fontId="29" fillId="4" borderId="1" xfId="1" applyNumberFormat="1" applyFont="1" applyFill="1" applyBorder="1"/>
    <xf numFmtId="43" fontId="29" fillId="4" borderId="3" xfId="1" applyNumberFormat="1" applyFont="1" applyFill="1" applyBorder="1"/>
    <xf numFmtId="43" fontId="28" fillId="4" borderId="1" xfId="0" applyNumberFormat="1" applyFont="1" applyFill="1" applyBorder="1"/>
    <xf numFmtId="0" fontId="16" fillId="5" borderId="0" xfId="0" applyFont="1" applyFill="1"/>
    <xf numFmtId="43" fontId="37" fillId="5" borderId="0" xfId="0" applyNumberFormat="1" applyFont="1" applyFill="1"/>
    <xf numFmtId="43" fontId="16" fillId="5" borderId="0" xfId="0" applyNumberFormat="1" applyFont="1" applyFill="1"/>
    <xf numFmtId="10" fontId="37" fillId="5" borderId="0" xfId="1" applyNumberFormat="1" applyFont="1" applyFill="1" applyBorder="1"/>
    <xf numFmtId="43" fontId="37" fillId="5" borderId="0" xfId="2" applyFont="1" applyFill="1" applyBorder="1"/>
    <xf numFmtId="43" fontId="16" fillId="5" borderId="0" xfId="2" applyFont="1" applyFill="1" applyBorder="1"/>
    <xf numFmtId="2" fontId="16" fillId="5" borderId="0" xfId="0" applyNumberFormat="1" applyFont="1" applyFill="1"/>
    <xf numFmtId="2" fontId="37" fillId="5" borderId="0" xfId="0" applyNumberFormat="1" applyFont="1" applyFill="1"/>
    <xf numFmtId="0" fontId="37" fillId="0" borderId="1" xfId="0" applyFont="1" applyBorder="1"/>
    <xf numFmtId="2" fontId="37" fillId="10" borderId="1" xfId="0" applyNumberFormat="1" applyFont="1" applyFill="1" applyBorder="1"/>
    <xf numFmtId="10" fontId="37" fillId="0" borderId="1" xfId="0" applyNumberFormat="1" applyFont="1" applyBorder="1"/>
    <xf numFmtId="9" fontId="37" fillId="13" borderId="1" xfId="1" applyFont="1" applyFill="1" applyBorder="1"/>
    <xf numFmtId="9" fontId="37" fillId="0" borderId="1" xfId="0" applyNumberFormat="1" applyFont="1" applyBorder="1"/>
    <xf numFmtId="2" fontId="37" fillId="13" borderId="1" xfId="0" applyNumberFormat="1" applyFont="1" applyFill="1" applyBorder="1"/>
    <xf numFmtId="2" fontId="37" fillId="0" borderId="1" xfId="0" applyNumberFormat="1" applyFont="1" applyBorder="1"/>
    <xf numFmtId="10" fontId="37" fillId="13" borderId="1" xfId="1" applyNumberFormat="1" applyFont="1" applyFill="1" applyBorder="1"/>
    <xf numFmtId="43" fontId="37" fillId="0" borderId="1" xfId="0" applyNumberFormat="1" applyFont="1" applyBorder="1"/>
    <xf numFmtId="0" fontId="42" fillId="0" borderId="1" xfId="0" applyFont="1" applyBorder="1"/>
    <xf numFmtId="2" fontId="37" fillId="10" borderId="1" xfId="1" applyNumberFormat="1" applyFont="1" applyFill="1" applyBorder="1"/>
    <xf numFmtId="3" fontId="37" fillId="0" borderId="1" xfId="0" applyNumberFormat="1" applyFont="1" applyBorder="1" applyAlignment="1">
      <alignment horizontal="right" wrapText="1"/>
    </xf>
    <xf numFmtId="4" fontId="37" fillId="0" borderId="1" xfId="0" applyNumberFormat="1" applyFont="1" applyBorder="1" applyAlignment="1">
      <alignment horizontal="right" vertical="top" wrapText="1"/>
    </xf>
    <xf numFmtId="0" fontId="37" fillId="0" borderId="1" xfId="0" applyFont="1" applyBorder="1" applyAlignment="1">
      <alignment horizontal="right" wrapText="1"/>
    </xf>
    <xf numFmtId="10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wrapText="1"/>
    </xf>
    <xf numFmtId="4" fontId="37" fillId="0" borderId="1" xfId="0" applyNumberFormat="1" applyFont="1" applyBorder="1" applyAlignment="1">
      <alignment horizontal="right" wrapText="1"/>
    </xf>
    <xf numFmtId="10" fontId="37" fillId="0" borderId="1" xfId="1" applyNumberFormat="1" applyFont="1" applyFill="1" applyBorder="1"/>
    <xf numFmtId="9" fontId="37" fillId="0" borderId="1" xfId="0" applyNumberFormat="1" applyFont="1" applyBorder="1" applyAlignment="1">
      <alignment horizontal="right" wrapText="1"/>
    </xf>
    <xf numFmtId="2" fontId="37" fillId="0" borderId="1" xfId="0" applyNumberFormat="1" applyFont="1" applyBorder="1" applyAlignment="1">
      <alignment horizontal="right" wrapText="1"/>
    </xf>
    <xf numFmtId="9" fontId="0" fillId="0" borderId="0" xfId="0" applyNumberFormat="1"/>
    <xf numFmtId="10" fontId="43" fillId="13" borderId="1" xfId="0" applyNumberFormat="1" applyFont="1" applyFill="1" applyBorder="1"/>
    <xf numFmtId="0" fontId="36" fillId="5" borderId="1" xfId="0" applyFont="1" applyFill="1" applyBorder="1" applyAlignment="1">
      <alignment horizontal="right"/>
    </xf>
    <xf numFmtId="43" fontId="25" fillId="5" borderId="1" xfId="2" applyFont="1" applyFill="1" applyBorder="1"/>
    <xf numFmtId="171" fontId="29" fillId="5" borderId="1" xfId="2" applyNumberFormat="1" applyFont="1" applyFill="1" applyBorder="1"/>
    <xf numFmtId="0" fontId="23" fillId="5" borderId="1" xfId="0" applyFont="1" applyFill="1" applyBorder="1"/>
    <xf numFmtId="10" fontId="31" fillId="4" borderId="1" xfId="1" applyNumberFormat="1" applyFont="1" applyFill="1" applyBorder="1"/>
    <xf numFmtId="0" fontId="26" fillId="5" borderId="1" xfId="0" applyFont="1" applyFill="1" applyBorder="1" applyAlignment="1">
      <alignment horizontal="right"/>
    </xf>
    <xf numFmtId="170" fontId="28" fillId="5" borderId="1" xfId="0" applyNumberFormat="1" applyFont="1" applyFill="1" applyBorder="1"/>
    <xf numFmtId="170" fontId="29" fillId="5" borderId="1" xfId="0" applyNumberFormat="1" applyFont="1" applyFill="1" applyBorder="1"/>
    <xf numFmtId="0" fontId="25" fillId="5" borderId="0" xfId="0" applyFont="1" applyFill="1"/>
    <xf numFmtId="167" fontId="30" fillId="5" borderId="0" xfId="2" applyNumberFormat="1" applyFont="1" applyFill="1"/>
    <xf numFmtId="170" fontId="29" fillId="5" borderId="0" xfId="2" applyNumberFormat="1" applyFont="1" applyFill="1"/>
    <xf numFmtId="171" fontId="25" fillId="4" borderId="1" xfId="2" applyNumberFormat="1" applyFont="1" applyFill="1" applyBorder="1" applyAlignment="1">
      <alignment horizontal="right"/>
    </xf>
    <xf numFmtId="171" fontId="28" fillId="4" borderId="1" xfId="2" applyNumberFormat="1" applyFont="1" applyFill="1" applyBorder="1" applyAlignment="1">
      <alignment horizontal="right"/>
    </xf>
    <xf numFmtId="43" fontId="28" fillId="0" borderId="1" xfId="0" applyNumberFormat="1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166" fontId="29" fillId="0" borderId="3" xfId="2" applyNumberFormat="1" applyFont="1" applyFill="1" applyBorder="1"/>
    <xf numFmtId="0" fontId="28" fillId="0" borderId="1" xfId="0" applyFont="1" applyBorder="1" applyAlignment="1">
      <alignment horizontal="center"/>
    </xf>
    <xf numFmtId="165" fontId="28" fillId="0" borderId="1" xfId="1" applyNumberFormat="1" applyFont="1" applyBorder="1" applyAlignment="1">
      <alignment horizontal="right"/>
    </xf>
    <xf numFmtId="165" fontId="29" fillId="5" borderId="1" xfId="1" applyNumberFormat="1" applyFont="1" applyFill="1" applyBorder="1"/>
    <xf numFmtId="9" fontId="28" fillId="0" borderId="0" xfId="1" applyFont="1"/>
    <xf numFmtId="10" fontId="7" fillId="0" borderId="0" xfId="1" applyNumberFormat="1" applyFont="1"/>
    <xf numFmtId="0" fontId="25" fillId="5" borderId="1" xfId="0" applyFont="1" applyFill="1" applyBorder="1"/>
    <xf numFmtId="0" fontId="11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43" fontId="28" fillId="0" borderId="1" xfId="2" applyFont="1" applyBorder="1" applyAlignment="1">
      <alignment wrapText="1"/>
    </xf>
    <xf numFmtId="10" fontId="33" fillId="4" borderId="1" xfId="1" applyNumberFormat="1" applyFont="1" applyFill="1" applyBorder="1"/>
    <xf numFmtId="170" fontId="25" fillId="0" borderId="3" xfId="2" applyNumberFormat="1" applyFont="1" applyFill="1" applyBorder="1"/>
    <xf numFmtId="170" fontId="29" fillId="4" borderId="3" xfId="2" applyNumberFormat="1" applyFont="1" applyFill="1" applyBorder="1"/>
    <xf numFmtId="43" fontId="25" fillId="0" borderId="1" xfId="2" applyFont="1" applyBorder="1" applyAlignment="1">
      <alignment horizontal="right"/>
    </xf>
    <xf numFmtId="170" fontId="28" fillId="0" borderId="1" xfId="2" applyNumberFormat="1" applyFont="1" applyBorder="1"/>
    <xf numFmtId="43" fontId="1" fillId="0" borderId="0" xfId="1" applyNumberFormat="1" applyFont="1"/>
    <xf numFmtId="173" fontId="28" fillId="0" borderId="1" xfId="0" applyNumberFormat="1" applyFont="1" applyBorder="1"/>
    <xf numFmtId="43" fontId="25" fillId="0" borderId="1" xfId="2" applyFont="1" applyFill="1" applyBorder="1" applyAlignment="1">
      <alignment horizontal="right"/>
    </xf>
    <xf numFmtId="165" fontId="29" fillId="0" borderId="1" xfId="1" applyNumberFormat="1" applyFont="1" applyFill="1" applyBorder="1"/>
    <xf numFmtId="0" fontId="25" fillId="0" borderId="0" xfId="0" applyFont="1" applyBorder="1" applyAlignment="1">
      <alignment horizontal="center"/>
    </xf>
    <xf numFmtId="0" fontId="30" fillId="0" borderId="0" xfId="0" applyFont="1" applyBorder="1"/>
    <xf numFmtId="0" fontId="28" fillId="0" borderId="0" xfId="0" applyFont="1" applyBorder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/>
    </xf>
    <xf numFmtId="0" fontId="37" fillId="0" borderId="1" xfId="0" applyFont="1" applyBorder="1"/>
    <xf numFmtId="0" fontId="16" fillId="6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9" fontId="26" fillId="0" borderId="1" xfId="2" applyNumberFormat="1" applyFont="1" applyFill="1" applyBorder="1"/>
    <xf numFmtId="169" fontId="29" fillId="0" borderId="1" xfId="2" applyNumberFormat="1" applyFont="1" applyFill="1" applyBorder="1"/>
    <xf numFmtId="170" fontId="25" fillId="0" borderId="0" xfId="2" applyNumberFormat="1" applyFont="1" applyFill="1" applyBorder="1"/>
    <xf numFmtId="170" fontId="28" fillId="0" borderId="0" xfId="2" applyNumberFormat="1" applyFont="1" applyFill="1" applyBorder="1"/>
    <xf numFmtId="170" fontId="26" fillId="0" borderId="0" xfId="2" applyNumberFormat="1" applyFont="1" applyFill="1" applyBorder="1"/>
    <xf numFmtId="170" fontId="29" fillId="0" borderId="0" xfId="2" applyNumberFormat="1" applyFont="1" applyFill="1" applyBorder="1"/>
    <xf numFmtId="43" fontId="28" fillId="4" borderId="1" xfId="2" applyFont="1" applyFill="1" applyBorder="1" applyAlignment="1">
      <alignment horizontal="right" vertical="center"/>
    </xf>
    <xf numFmtId="43" fontId="28" fillId="0" borderId="1" xfId="2" applyFont="1" applyBorder="1" applyAlignment="1">
      <alignment horizontal="right" vertical="center"/>
    </xf>
    <xf numFmtId="43" fontId="29" fillId="0" borderId="1" xfId="2" applyFont="1" applyFill="1" applyBorder="1" applyAlignment="1">
      <alignment horizontal="right" vertical="center"/>
    </xf>
    <xf numFmtId="43" fontId="29" fillId="0" borderId="1" xfId="2" applyFont="1" applyBorder="1" applyAlignment="1">
      <alignment horizontal="right" vertical="center"/>
    </xf>
    <xf numFmtId="43" fontId="29" fillId="4" borderId="1" xfId="2" applyFont="1" applyFill="1" applyBorder="1" applyAlignment="1">
      <alignment horizontal="right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80"/>
  <sheetViews>
    <sheetView tabSelected="1" showRuler="0" zoomScale="74" zoomScaleNormal="74" zoomScaleSheetLayoutView="80" zoomScalePageLayoutView="85" workbookViewId="0">
      <selection activeCell="A3" sqref="A3"/>
    </sheetView>
  </sheetViews>
  <sheetFormatPr defaultColWidth="9.1796875" defaultRowHeight="11.5"/>
  <cols>
    <col min="1" max="1" width="61" style="1" customWidth="1"/>
    <col min="2" max="2" width="12.26953125" style="1" hidden="1" customWidth="1"/>
    <col min="3" max="3" width="18" style="1" customWidth="1"/>
    <col min="4" max="6" width="19.26953125" style="10" bestFit="1" customWidth="1"/>
    <col min="7" max="7" width="14.453125" style="10" bestFit="1" customWidth="1"/>
    <col min="8" max="9" width="16.1796875" style="10" customWidth="1"/>
    <col min="10" max="10" width="18.54296875" style="10" bestFit="1" customWidth="1"/>
    <col min="11" max="11" width="17.26953125" style="10" customWidth="1"/>
    <col min="12" max="12" width="13.453125" style="10" customWidth="1"/>
    <col min="13" max="13" width="61" style="1" customWidth="1"/>
    <col min="14" max="14" width="11.453125" style="10" hidden="1" customWidth="1"/>
    <col min="15" max="15" width="8.81640625" style="1" hidden="1" customWidth="1"/>
    <col min="16" max="16" width="12.54296875" style="16" bestFit="1" customWidth="1"/>
    <col min="17" max="18" width="12.54296875" style="1" bestFit="1" customWidth="1"/>
    <col min="19" max="19" width="15.453125" style="1" customWidth="1"/>
    <col min="20" max="20" width="13.453125" style="1" customWidth="1"/>
    <col min="21" max="22" width="13.453125" style="1" bestFit="1" customWidth="1"/>
    <col min="23" max="23" width="15.453125" style="1" bestFit="1" customWidth="1"/>
    <col min="24" max="16384" width="9.1796875" style="1"/>
  </cols>
  <sheetData>
    <row r="1" spans="1:38" ht="15" customHeight="1">
      <c r="A1" s="424" t="s">
        <v>176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</row>
    <row r="2" spans="1:38" ht="15" customHeight="1">
      <c r="A2" s="257" t="s">
        <v>97</v>
      </c>
      <c r="B2" s="257"/>
      <c r="C2" s="257"/>
      <c r="D2" s="257"/>
      <c r="E2" s="257"/>
      <c r="F2" s="257"/>
      <c r="G2" s="248"/>
      <c r="H2" s="248"/>
      <c r="I2" s="248"/>
      <c r="J2" s="248"/>
      <c r="K2" s="248"/>
      <c r="L2"/>
      <c r="M2" s="258" t="s">
        <v>96</v>
      </c>
      <c r="N2" s="258"/>
      <c r="O2" s="258"/>
      <c r="P2" s="258"/>
      <c r="Q2" s="258"/>
      <c r="R2" s="258"/>
      <c r="S2" s="258"/>
      <c r="T2" s="390"/>
      <c r="U2" s="102"/>
    </row>
    <row r="3" spans="1:38" ht="15" customHeight="1">
      <c r="A3" s="101" t="s">
        <v>0</v>
      </c>
      <c r="B3" s="131" t="s">
        <v>33</v>
      </c>
      <c r="C3" s="131" t="s">
        <v>34</v>
      </c>
      <c r="D3" s="131" t="s">
        <v>87</v>
      </c>
      <c r="E3" s="131" t="s">
        <v>133</v>
      </c>
      <c r="F3" s="131" t="s">
        <v>166</v>
      </c>
      <c r="G3" s="131" t="s">
        <v>213</v>
      </c>
      <c r="H3" s="131" t="s">
        <v>224</v>
      </c>
      <c r="I3" s="131" t="s">
        <v>226</v>
      </c>
      <c r="J3" s="131" t="s">
        <v>233</v>
      </c>
      <c r="K3" s="131" t="s">
        <v>235</v>
      </c>
      <c r="L3"/>
      <c r="M3" s="101" t="s">
        <v>0</v>
      </c>
      <c r="N3" s="163" t="s">
        <v>33</v>
      </c>
      <c r="O3" s="163" t="s">
        <v>34</v>
      </c>
      <c r="P3" s="164" t="s">
        <v>87</v>
      </c>
      <c r="Q3" s="144" t="s">
        <v>133</v>
      </c>
      <c r="R3" s="144" t="s">
        <v>166</v>
      </c>
      <c r="S3" s="144" t="s">
        <v>213</v>
      </c>
      <c r="T3" s="392" t="s">
        <v>224</v>
      </c>
      <c r="U3" s="163" t="s">
        <v>226</v>
      </c>
      <c r="V3" s="163" t="s">
        <v>233</v>
      </c>
    </row>
    <row r="4" spans="1:38" ht="15" customHeight="1">
      <c r="A4" s="101" t="s">
        <v>169</v>
      </c>
      <c r="B4" s="344">
        <v>1666.95</v>
      </c>
      <c r="C4" s="286">
        <v>2039.0170000000001</v>
      </c>
      <c r="D4" s="445">
        <v>2428.377</v>
      </c>
      <c r="E4" s="445">
        <v>2498.7089999999998</v>
      </c>
      <c r="F4" s="445">
        <f>3057.909+7.017</f>
        <v>3064.9259999999999</v>
      </c>
      <c r="G4" s="445">
        <v>3965.694</v>
      </c>
      <c r="H4" s="445">
        <v>6431.83</v>
      </c>
      <c r="I4" s="445">
        <v>6480.41</v>
      </c>
      <c r="J4" s="445">
        <v>6214.7259999999997</v>
      </c>
      <c r="K4" s="445">
        <v>1649.2829999999999</v>
      </c>
      <c r="L4"/>
      <c r="M4" s="102" t="s">
        <v>35</v>
      </c>
      <c r="N4" s="113">
        <v>137.94</v>
      </c>
      <c r="O4" s="289">
        <v>376.09800000000001</v>
      </c>
      <c r="P4" s="289">
        <v>376.09800000000001</v>
      </c>
      <c r="Q4" s="289">
        <v>390.62700000000001</v>
      </c>
      <c r="R4" s="324">
        <v>0</v>
      </c>
      <c r="S4" s="324">
        <v>130.209</v>
      </c>
      <c r="T4" s="393">
        <v>130.209</v>
      </c>
      <c r="U4" s="102">
        <v>130.209</v>
      </c>
      <c r="V4" s="102">
        <v>130.209</v>
      </c>
    </row>
    <row r="5" spans="1:38" ht="15" customHeight="1">
      <c r="A5" s="102" t="s">
        <v>6</v>
      </c>
      <c r="B5" s="102">
        <v>8.1999999999999993</v>
      </c>
      <c r="C5" s="287">
        <v>0.93400000000000005</v>
      </c>
      <c r="D5" s="446">
        <v>27.035</v>
      </c>
      <c r="E5" s="446">
        <v>43.515999999999998</v>
      </c>
      <c r="F5" s="446">
        <v>65.885999999999996</v>
      </c>
      <c r="G5" s="446">
        <v>2.8220000000000001</v>
      </c>
      <c r="H5" s="446">
        <v>3.62</v>
      </c>
      <c r="I5" s="446">
        <v>6.7560000000000002</v>
      </c>
      <c r="J5" s="446">
        <v>11.339</v>
      </c>
      <c r="K5" s="446">
        <v>2.3620000000000001</v>
      </c>
      <c r="L5"/>
      <c r="M5" s="102" t="s">
        <v>179</v>
      </c>
      <c r="N5" s="113">
        <v>494.613</v>
      </c>
      <c r="O5" s="289">
        <f>14.529+329.017</f>
        <v>343.54599999999999</v>
      </c>
      <c r="P5" s="289">
        <f>14.529+482.751</f>
        <v>497.28</v>
      </c>
      <c r="Q5" s="289">
        <v>635.53200000000004</v>
      </c>
      <c r="R5" s="296">
        <f>130.209+1136.998</f>
        <v>1267.2070000000001</v>
      </c>
      <c r="S5" s="296">
        <v>1557.136</v>
      </c>
      <c r="T5" s="394">
        <v>2191.2800000000002</v>
      </c>
      <c r="U5" s="102">
        <v>2462.3919999999998</v>
      </c>
      <c r="V5" s="305">
        <v>2769.1190000000001</v>
      </c>
    </row>
    <row r="6" spans="1:38" ht="15" customHeight="1">
      <c r="A6" s="105" t="s">
        <v>95</v>
      </c>
      <c r="B6" s="311">
        <f t="shared" ref="B6:I6" si="0">B4+B5</f>
        <v>1675.15</v>
      </c>
      <c r="C6" s="291">
        <f t="shared" si="0"/>
        <v>2039.951</v>
      </c>
      <c r="D6" s="291">
        <f t="shared" si="0"/>
        <v>2455.4119999999998</v>
      </c>
      <c r="E6" s="291">
        <f t="shared" si="0"/>
        <v>2542.2249999999999</v>
      </c>
      <c r="F6" s="291">
        <f t="shared" si="0"/>
        <v>3130.8119999999999</v>
      </c>
      <c r="G6" s="291">
        <f t="shared" si="0"/>
        <v>3968.5160000000001</v>
      </c>
      <c r="H6" s="291">
        <f t="shared" si="0"/>
        <v>6435.45</v>
      </c>
      <c r="I6" s="291">
        <f t="shared" si="0"/>
        <v>6487.1660000000002</v>
      </c>
      <c r="J6" s="291">
        <f>J4+J5</f>
        <v>6226.0649999999996</v>
      </c>
      <c r="K6" s="291">
        <f>K4+K5</f>
        <v>1651.645</v>
      </c>
      <c r="L6"/>
      <c r="M6" s="105" t="s">
        <v>37</v>
      </c>
      <c r="N6" s="106">
        <f t="shared" ref="N6:R6" si="1">(N4+N5)</f>
        <v>632.553</v>
      </c>
      <c r="O6" s="291">
        <f t="shared" ref="O6" si="2">(O4+O5)</f>
        <v>719.64400000000001</v>
      </c>
      <c r="P6" s="291">
        <f t="shared" si="1"/>
        <v>873.37799999999993</v>
      </c>
      <c r="Q6" s="291">
        <f>(Q4+Q5)</f>
        <v>1026.1590000000001</v>
      </c>
      <c r="R6" s="291">
        <f t="shared" si="1"/>
        <v>1267.2070000000001</v>
      </c>
      <c r="S6" s="291">
        <f>(S4+S5)</f>
        <v>1687.345</v>
      </c>
      <c r="T6" s="291">
        <f>(T4+T5)</f>
        <v>2321.489</v>
      </c>
      <c r="U6" s="291">
        <f>(U4+U5)</f>
        <v>2592.6009999999997</v>
      </c>
      <c r="V6" s="291">
        <f>(V4+V5)</f>
        <v>2899.328</v>
      </c>
    </row>
    <row r="7" spans="1:38" ht="15" customHeight="1">
      <c r="A7" s="107" t="s">
        <v>2</v>
      </c>
      <c r="B7" s="292" t="e">
        <f t="shared" ref="B7" si="3">(B6/A6-1)</f>
        <v>#VALUE!</v>
      </c>
      <c r="C7" s="109">
        <f t="shared" ref="C7:I7" si="4">(C4/B4-1)</f>
        <v>0.22320225561654516</v>
      </c>
      <c r="D7" s="109">
        <f t="shared" si="4"/>
        <v>0.19095475908244008</v>
      </c>
      <c r="E7" s="109">
        <f t="shared" si="4"/>
        <v>2.8962554002117447E-2</v>
      </c>
      <c r="F7" s="109">
        <f t="shared" si="4"/>
        <v>0.22660381821172448</v>
      </c>
      <c r="G7" s="109">
        <f t="shared" si="4"/>
        <v>0.29389551330113672</v>
      </c>
      <c r="H7" s="109">
        <f t="shared" si="4"/>
        <v>0.62186744615192202</v>
      </c>
      <c r="I7" s="109">
        <f t="shared" si="4"/>
        <v>7.553060326532357E-3</v>
      </c>
      <c r="J7" s="109">
        <f>(J4/I4-1)</f>
        <v>-4.0998023273218887E-2</v>
      </c>
      <c r="K7" s="109"/>
      <c r="L7"/>
      <c r="M7" s="102" t="s">
        <v>168</v>
      </c>
      <c r="N7" s="113"/>
      <c r="O7" s="289"/>
      <c r="P7" s="289"/>
      <c r="Q7" s="305">
        <v>0</v>
      </c>
      <c r="R7" s="305">
        <v>0</v>
      </c>
      <c r="S7" s="305">
        <v>0</v>
      </c>
      <c r="T7" s="293"/>
      <c r="U7" s="102"/>
      <c r="V7" s="102"/>
      <c r="X7" s="240"/>
      <c r="Y7" s="240"/>
      <c r="Z7" s="240"/>
      <c r="AA7" s="240"/>
      <c r="AB7" s="240"/>
    </row>
    <row r="8" spans="1:38" ht="15" customHeight="1">
      <c r="A8" s="107" t="s">
        <v>214</v>
      </c>
      <c r="B8" s="107"/>
      <c r="C8" s="312"/>
      <c r="D8" s="292"/>
      <c r="E8" s="292"/>
      <c r="F8" s="292"/>
      <c r="G8" s="109">
        <f>((G4/B4)^(1/5)-1)</f>
        <v>0.18926688279073844</v>
      </c>
      <c r="H8" s="109">
        <f>((H4/C4)^(1/5)-1)</f>
        <v>0.25829578573948186</v>
      </c>
      <c r="I8" s="109">
        <f>((I4/D4)^(1/5)-1)</f>
        <v>0.21690667841224909</v>
      </c>
      <c r="J8" s="109">
        <f>((J4/E4)^(1/5)-1)</f>
        <v>0.19988952219964662</v>
      </c>
      <c r="K8" s="109"/>
      <c r="L8"/>
      <c r="M8" s="102" t="s">
        <v>39</v>
      </c>
      <c r="N8" s="113">
        <v>115.227</v>
      </c>
      <c r="O8" s="289">
        <v>187.60599999999999</v>
      </c>
      <c r="P8" s="289">
        <v>163.506</v>
      </c>
      <c r="Q8" s="305">
        <v>82.914000000000001</v>
      </c>
      <c r="R8" s="416">
        <v>163.316</v>
      </c>
      <c r="S8" s="416">
        <v>259.82</v>
      </c>
      <c r="T8" s="293">
        <v>99.87</v>
      </c>
      <c r="U8" s="416">
        <v>0</v>
      </c>
      <c r="V8" s="416">
        <v>0</v>
      </c>
      <c r="X8" s="240"/>
      <c r="Y8" s="240"/>
      <c r="Z8" s="240"/>
      <c r="AA8" s="240"/>
      <c r="AB8" s="240"/>
    </row>
    <row r="9" spans="1:38" ht="15" customHeight="1">
      <c r="A9" s="105" t="s">
        <v>3</v>
      </c>
      <c r="B9" s="311">
        <f t="shared" ref="B9:I9" si="5">SUM(B10:B15)</f>
        <v>1440.462</v>
      </c>
      <c r="C9" s="311">
        <f t="shared" si="5"/>
        <v>1802.3679999999999</v>
      </c>
      <c r="D9" s="291">
        <f t="shared" si="5"/>
        <v>2090.165</v>
      </c>
      <c r="E9" s="291">
        <f t="shared" si="5"/>
        <v>2138.2159999999999</v>
      </c>
      <c r="F9" s="291">
        <f t="shared" si="5"/>
        <v>2581.2489999999998</v>
      </c>
      <c r="G9" s="291">
        <f t="shared" si="5"/>
        <v>3278.9720000000002</v>
      </c>
      <c r="H9" s="291">
        <f t="shared" si="5"/>
        <v>5383.1900000000014</v>
      </c>
      <c r="I9" s="291">
        <f t="shared" si="5"/>
        <v>5757.0990000000002</v>
      </c>
      <c r="J9" s="291">
        <f>SUM(J10:J15)</f>
        <v>5544.927999999999</v>
      </c>
      <c r="K9" s="291">
        <f>SUM(K10:K15)</f>
        <v>1431.4999999999998</v>
      </c>
      <c r="L9" s="348"/>
      <c r="M9" s="102" t="s">
        <v>40</v>
      </c>
      <c r="N9" s="113">
        <v>169.977</v>
      </c>
      <c r="O9" s="289">
        <v>315.267</v>
      </c>
      <c r="P9" s="289">
        <v>387.74700000000001</v>
      </c>
      <c r="Q9" s="305">
        <v>404.9</v>
      </c>
      <c r="R9" s="416">
        <v>443.73700000000002</v>
      </c>
      <c r="S9" s="416">
        <v>222.33199999999999</v>
      </c>
      <c r="T9" s="293">
        <v>520.42999999999995</v>
      </c>
      <c r="U9" s="416">
        <v>501.67599999999999</v>
      </c>
      <c r="V9" s="305">
        <v>73.177000000000007</v>
      </c>
      <c r="X9" s="240"/>
      <c r="Y9" s="240"/>
      <c r="Z9" s="240"/>
      <c r="AA9" s="240"/>
      <c r="AB9" s="240"/>
    </row>
    <row r="10" spans="1:38" ht="15" customHeight="1">
      <c r="A10" s="102" t="s">
        <v>111</v>
      </c>
      <c r="B10" s="345">
        <v>1002.18</v>
      </c>
      <c r="C10" s="287">
        <v>1245.7239999999999</v>
      </c>
      <c r="D10" s="289">
        <v>1585.7139999999999</v>
      </c>
      <c r="E10" s="289">
        <v>1738.1469999999999</v>
      </c>
      <c r="F10" s="289">
        <f>2008.693+188.398</f>
        <v>2197.0909999999999</v>
      </c>
      <c r="G10" s="289">
        <v>2776.625</v>
      </c>
      <c r="H10" s="289">
        <v>4709.0200000000004</v>
      </c>
      <c r="I10" s="289">
        <v>5013.3950000000004</v>
      </c>
      <c r="J10" s="289">
        <v>4577.5519999999997</v>
      </c>
      <c r="K10" s="289">
        <v>1279.0139999999999</v>
      </c>
      <c r="L10" s="224"/>
      <c r="M10" s="105" t="s">
        <v>41</v>
      </c>
      <c r="N10" s="106">
        <f t="shared" ref="N10:P10" si="6">(N8+N9)</f>
        <v>285.20400000000001</v>
      </c>
      <c r="O10" s="291">
        <f t="shared" ref="O10" si="7">(O8+O9)</f>
        <v>502.87299999999999</v>
      </c>
      <c r="P10" s="291">
        <f t="shared" si="6"/>
        <v>551.25300000000004</v>
      </c>
      <c r="Q10" s="291">
        <f t="shared" ref="Q10:T10" si="8">(Q8+Q9)</f>
        <v>487.81399999999996</v>
      </c>
      <c r="R10" s="291">
        <f t="shared" si="8"/>
        <v>607.053</v>
      </c>
      <c r="S10" s="291">
        <f t="shared" si="8"/>
        <v>482.15199999999999</v>
      </c>
      <c r="T10" s="291">
        <f t="shared" si="8"/>
        <v>620.29999999999995</v>
      </c>
      <c r="U10" s="291">
        <f>(U8+U9)</f>
        <v>501.67599999999999</v>
      </c>
      <c r="V10" s="291">
        <f>(V8+V9)</f>
        <v>73.177000000000007</v>
      </c>
      <c r="X10" s="88"/>
      <c r="Y10" s="88"/>
      <c r="Z10" s="88"/>
      <c r="AA10" s="88"/>
      <c r="AB10" s="88"/>
    </row>
    <row r="11" spans="1:38" ht="15" customHeight="1">
      <c r="A11" s="149" t="s">
        <v>114</v>
      </c>
      <c r="B11" s="149">
        <v>-7.1109999999999998</v>
      </c>
      <c r="C11" s="288">
        <v>-7.8159999999999998</v>
      </c>
      <c r="D11" s="289">
        <v>0.69399999999999995</v>
      </c>
      <c r="E11" s="289">
        <f>-86.892+1.508</f>
        <v>-85.384</v>
      </c>
      <c r="F11" s="293">
        <v>62.58</v>
      </c>
      <c r="G11" s="289">
        <v>-108.68300000000001</v>
      </c>
      <c r="H11" s="289">
        <v>-122.03</v>
      </c>
      <c r="I11" s="289">
        <v>-106.25</v>
      </c>
      <c r="J11" s="289">
        <v>61.829000000000001</v>
      </c>
      <c r="K11" s="289">
        <v>-112.941</v>
      </c>
      <c r="L11" s="224"/>
      <c r="M11" s="105" t="s">
        <v>42</v>
      </c>
      <c r="N11" s="106">
        <f t="shared" ref="N11:T11" si="9">(N6+N8+N7+SUM(N40:N43))</f>
        <v>828.23099999999999</v>
      </c>
      <c r="O11" s="291">
        <f t="shared" si="9"/>
        <v>1011.058</v>
      </c>
      <c r="P11" s="291">
        <f t="shared" si="9"/>
        <v>1147.181</v>
      </c>
      <c r="Q11" s="291">
        <f t="shared" si="9"/>
        <v>1239.6010000000001</v>
      </c>
      <c r="R11" s="291">
        <f t="shared" si="9"/>
        <v>1558.2460000000001</v>
      </c>
      <c r="S11" s="291">
        <f t="shared" si="9"/>
        <v>2078.3939999999998</v>
      </c>
      <c r="T11" s="291">
        <f t="shared" si="9"/>
        <v>2566.913</v>
      </c>
      <c r="U11" s="291">
        <f>(U6+U8+U7+SUM(U40:U43))</f>
        <v>2756.3299999999995</v>
      </c>
      <c r="V11" s="291">
        <f>(V6+V8+V7+SUM(V40:V43))</f>
        <v>3082.442</v>
      </c>
    </row>
    <row r="12" spans="1:38" ht="15.65" customHeight="1">
      <c r="A12" s="149" t="s">
        <v>174</v>
      </c>
      <c r="B12" s="346">
        <v>149.74199999999999</v>
      </c>
      <c r="C12" s="288">
        <v>184.71100000000001</v>
      </c>
      <c r="D12" s="289">
        <v>65.087000000000003</v>
      </c>
      <c r="E12" s="289">
        <v>0</v>
      </c>
      <c r="F12" s="289">
        <v>0</v>
      </c>
      <c r="G12" s="289">
        <v>0</v>
      </c>
      <c r="H12" s="289">
        <v>0</v>
      </c>
      <c r="I12" s="289">
        <v>0</v>
      </c>
      <c r="J12" s="289">
        <v>0</v>
      </c>
      <c r="K12" s="289">
        <v>0</v>
      </c>
      <c r="L12" s="224"/>
      <c r="M12" s="105" t="s">
        <v>42</v>
      </c>
      <c r="N12" s="111">
        <f t="shared" ref="N12:T12" si="10">N45-N31-N9</f>
        <v>828.23100000000011</v>
      </c>
      <c r="O12" s="295">
        <f t="shared" si="10"/>
        <v>1011.0579999999998</v>
      </c>
      <c r="P12" s="295">
        <f t="shared" si="10"/>
        <v>1147.1809999999996</v>
      </c>
      <c r="Q12" s="295">
        <f t="shared" si="10"/>
        <v>1239.6009999999997</v>
      </c>
      <c r="R12" s="295">
        <f t="shared" si="10"/>
        <v>1558.2459999999999</v>
      </c>
      <c r="S12" s="295">
        <f t="shared" si="10"/>
        <v>2077.2740000000003</v>
      </c>
      <c r="T12" s="295">
        <f t="shared" si="10"/>
        <v>2566.949000000001</v>
      </c>
      <c r="U12" s="295">
        <f>U45-U31-U9</f>
        <v>2756.3300000000008</v>
      </c>
      <c r="V12" s="295">
        <f>V45-V31-V9</f>
        <v>3082.442</v>
      </c>
      <c r="X12" s="240"/>
      <c r="Y12" s="240"/>
      <c r="Z12" s="240"/>
      <c r="AA12" s="240"/>
      <c r="AB12" s="240"/>
    </row>
    <row r="13" spans="1:38" ht="15" customHeight="1">
      <c r="A13" s="149" t="s">
        <v>227</v>
      </c>
      <c r="B13" s="149"/>
      <c r="C13" s="411">
        <v>0</v>
      </c>
      <c r="D13" s="411">
        <v>0</v>
      </c>
      <c r="E13" s="411">
        <v>0</v>
      </c>
      <c r="F13" s="411">
        <v>0</v>
      </c>
      <c r="G13" s="289">
        <v>213.73500000000001</v>
      </c>
      <c r="H13" s="289">
        <v>364.05</v>
      </c>
      <c r="I13" s="289">
        <v>368.21</v>
      </c>
      <c r="J13" s="289">
        <v>364.73099999999999</v>
      </c>
      <c r="K13" s="289">
        <v>104.86499999999999</v>
      </c>
      <c r="L13" s="224"/>
      <c r="M13" s="105" t="s">
        <v>91</v>
      </c>
      <c r="N13" s="106"/>
      <c r="O13" s="295"/>
      <c r="P13" s="295"/>
      <c r="Q13" s="295"/>
      <c r="R13" s="295"/>
      <c r="S13" s="295"/>
      <c r="T13" s="295">
        <v>1694.4690000000001</v>
      </c>
      <c r="U13" s="295">
        <v>1922.4480000000001</v>
      </c>
      <c r="V13" s="295"/>
      <c r="X13" s="88"/>
      <c r="Y13" s="88"/>
      <c r="Z13" s="88"/>
      <c r="AA13" s="88"/>
      <c r="AB13" s="88"/>
    </row>
    <row r="14" spans="1:38" ht="15" customHeight="1">
      <c r="A14" s="102" t="s">
        <v>115</v>
      </c>
      <c r="B14" s="102">
        <v>77.308999999999997</v>
      </c>
      <c r="C14" s="287">
        <v>110.774</v>
      </c>
      <c r="D14" s="289">
        <v>129.70500000000001</v>
      </c>
      <c r="E14" s="289">
        <v>151.738</v>
      </c>
      <c r="F14" s="289">
        <v>140.13499999999999</v>
      </c>
      <c r="G14" s="289">
        <v>160.78800000000001</v>
      </c>
      <c r="H14" s="289">
        <v>177.47</v>
      </c>
      <c r="I14" s="289">
        <v>196.16499999999999</v>
      </c>
      <c r="J14" s="289">
        <v>220.37799999999999</v>
      </c>
      <c r="K14" s="289">
        <v>63.106000000000002</v>
      </c>
      <c r="L14" s="224"/>
      <c r="M14" s="395" t="s">
        <v>231</v>
      </c>
      <c r="N14" s="396"/>
      <c r="O14" s="397"/>
      <c r="P14" s="408">
        <f t="shared" ref="P14:U14" si="11">SUM(P15:P22)</f>
        <v>1083.3899999999999</v>
      </c>
      <c r="Q14" s="408">
        <f t="shared" si="11"/>
        <v>1181.4669999999999</v>
      </c>
      <c r="R14" s="408">
        <f t="shared" si="11"/>
        <v>1440.0739999999998</v>
      </c>
      <c r="S14" s="408">
        <f t="shared" si="11"/>
        <v>1605.9350000000002</v>
      </c>
      <c r="T14" s="408">
        <f t="shared" si="11"/>
        <v>1868.2350000000001</v>
      </c>
      <c r="U14" s="408">
        <f t="shared" si="11"/>
        <v>1938.3530000000005</v>
      </c>
      <c r="V14" s="101">
        <f>SUM(V15:V22)</f>
        <v>2014.569</v>
      </c>
      <c r="X14" s="88"/>
    </row>
    <row r="15" spans="1:38" ht="15" customHeight="1">
      <c r="A15" s="102" t="s">
        <v>70</v>
      </c>
      <c r="B15" s="345">
        <v>218.34200000000001</v>
      </c>
      <c r="C15" s="287">
        <v>268.97500000000002</v>
      </c>
      <c r="D15" s="289">
        <v>308.96499999999997</v>
      </c>
      <c r="E15" s="289">
        <v>333.71499999999997</v>
      </c>
      <c r="F15" s="289">
        <v>181.44300000000001</v>
      </c>
      <c r="G15" s="289">
        <v>236.50700000000001</v>
      </c>
      <c r="H15" s="289">
        <v>254.68</v>
      </c>
      <c r="I15" s="289">
        <v>285.57900000000001</v>
      </c>
      <c r="J15" s="289">
        <v>320.43799999999999</v>
      </c>
      <c r="K15" s="289">
        <v>97.456000000000003</v>
      </c>
      <c r="L15" s="224"/>
      <c r="M15" s="102" t="s">
        <v>100</v>
      </c>
      <c r="N15" s="113">
        <v>734.09199999999998</v>
      </c>
      <c r="O15" s="325">
        <v>935.08699999999999</v>
      </c>
      <c r="P15" s="325">
        <v>1015.468</v>
      </c>
      <c r="Q15" s="326">
        <v>1152.425</v>
      </c>
      <c r="R15" s="416">
        <v>1219.223</v>
      </c>
      <c r="S15" s="416">
        <v>1219.9159999999999</v>
      </c>
      <c r="T15" s="293">
        <v>1363.31</v>
      </c>
      <c r="U15" s="416">
        <v>1514.5450000000001</v>
      </c>
      <c r="V15" s="305">
        <v>1867.9190000000001</v>
      </c>
      <c r="X15" s="417"/>
      <c r="Y15" s="11"/>
      <c r="Z15" s="11"/>
      <c r="AA15" s="11"/>
      <c r="AB15" s="11"/>
    </row>
    <row r="16" spans="1:38" ht="15" customHeight="1">
      <c r="A16" s="105" t="s">
        <v>171</v>
      </c>
      <c r="B16" s="311">
        <f t="shared" ref="B16:I16" si="12">(B4-B9)</f>
        <v>226.48800000000006</v>
      </c>
      <c r="C16" s="311">
        <f t="shared" si="12"/>
        <v>236.64900000000011</v>
      </c>
      <c r="D16" s="291">
        <f t="shared" si="12"/>
        <v>338.21199999999999</v>
      </c>
      <c r="E16" s="291">
        <f t="shared" si="12"/>
        <v>360.49299999999994</v>
      </c>
      <c r="F16" s="291">
        <f t="shared" si="12"/>
        <v>483.67700000000013</v>
      </c>
      <c r="G16" s="291">
        <f t="shared" si="12"/>
        <v>686.72199999999975</v>
      </c>
      <c r="H16" s="291">
        <f t="shared" si="12"/>
        <v>1048.6399999999985</v>
      </c>
      <c r="I16" s="291">
        <f t="shared" si="12"/>
        <v>723.31099999999969</v>
      </c>
      <c r="J16" s="291">
        <f>J4-J9</f>
        <v>669.79800000000068</v>
      </c>
      <c r="K16" s="291">
        <f>K4-K9</f>
        <v>217.78300000000013</v>
      </c>
      <c r="L16"/>
      <c r="M16" s="102" t="s">
        <v>101</v>
      </c>
      <c r="N16" s="113">
        <v>52.639000000000003</v>
      </c>
      <c r="O16" s="325">
        <v>32.067999999999998</v>
      </c>
      <c r="P16" s="325">
        <v>33.813000000000002</v>
      </c>
      <c r="Q16" s="326">
        <v>8.7910000000000004</v>
      </c>
      <c r="R16" s="416">
        <v>94.284999999999997</v>
      </c>
      <c r="S16" s="416">
        <v>294.529</v>
      </c>
      <c r="T16" s="293">
        <v>419.98</v>
      </c>
      <c r="U16" s="416">
        <v>348.697</v>
      </c>
      <c r="V16" s="305">
        <v>60.156999999999996</v>
      </c>
    </row>
    <row r="17" spans="1:23" ht="15" customHeight="1">
      <c r="A17" s="107" t="s">
        <v>2</v>
      </c>
      <c r="B17" s="292" t="e">
        <f t="shared" ref="B17:C17" si="13">(B16/A16-1)</f>
        <v>#VALUE!</v>
      </c>
      <c r="C17" s="109">
        <f t="shared" si="13"/>
        <v>4.4863304016107053E-2</v>
      </c>
      <c r="D17" s="109">
        <f t="shared" ref="D17:I17" si="14">(D16/C16-1)</f>
        <v>0.42917147336350392</v>
      </c>
      <c r="E17" s="109">
        <f t="shared" si="14"/>
        <v>6.5878797913734521E-2</v>
      </c>
      <c r="F17" s="109">
        <f t="shared" si="14"/>
        <v>0.34170982515610637</v>
      </c>
      <c r="G17" s="109">
        <f t="shared" si="14"/>
        <v>0.41979461500133253</v>
      </c>
      <c r="H17" s="109">
        <f t="shared" si="14"/>
        <v>0.52702257973386457</v>
      </c>
      <c r="I17" s="109">
        <f t="shared" si="14"/>
        <v>-0.3102389761977411</v>
      </c>
      <c r="J17" s="109">
        <f>(J16/I16-1)</f>
        <v>-7.3983390270573879E-2</v>
      </c>
      <c r="K17" s="109"/>
      <c r="L17"/>
      <c r="M17" s="102" t="s">
        <v>108</v>
      </c>
      <c r="N17" s="113"/>
      <c r="O17" s="305">
        <v>0</v>
      </c>
      <c r="P17" s="305">
        <v>0</v>
      </c>
      <c r="Q17" s="305">
        <v>0</v>
      </c>
      <c r="R17" s="305">
        <v>0</v>
      </c>
      <c r="S17" s="305">
        <v>0</v>
      </c>
      <c r="T17" s="293"/>
      <c r="U17" s="416"/>
      <c r="V17" s="416"/>
    </row>
    <row r="18" spans="1:23" ht="15" customHeight="1">
      <c r="A18" s="107" t="s">
        <v>214</v>
      </c>
      <c r="B18" s="107"/>
      <c r="C18" s="312"/>
      <c r="D18" s="292"/>
      <c r="E18" s="292"/>
      <c r="F18" s="292"/>
      <c r="G18" s="109">
        <f>((G16/B16)^(1/5)-1)</f>
        <v>0.2483810074696573</v>
      </c>
      <c r="H18" s="109">
        <f>((H16/C16)^(1/5)-1)</f>
        <v>0.34680385004687864</v>
      </c>
      <c r="I18" s="109">
        <f>((I16/D16)^(1/5)-1)</f>
        <v>0.16419897195081767</v>
      </c>
      <c r="J18" s="109">
        <f>((J16/E16)^(1/5)-1)</f>
        <v>0.13190349803997403</v>
      </c>
      <c r="K18" s="109"/>
      <c r="L18"/>
      <c r="M18" s="102" t="s">
        <v>225</v>
      </c>
      <c r="N18" s="113"/>
      <c r="O18" s="305">
        <v>0</v>
      </c>
      <c r="P18" s="305">
        <v>0</v>
      </c>
      <c r="Q18" s="305">
        <v>0</v>
      </c>
      <c r="R18" s="305">
        <v>43.442999999999998</v>
      </c>
      <c r="S18" s="305">
        <v>42.796999999999997</v>
      </c>
      <c r="T18" s="293">
        <v>42.15</v>
      </c>
      <c r="U18" s="416">
        <v>41.505000000000003</v>
      </c>
      <c r="V18" s="305">
        <v>40.859000000000002</v>
      </c>
    </row>
    <row r="19" spans="1:23" ht="15" customHeight="1">
      <c r="A19" s="105" t="s">
        <v>172</v>
      </c>
      <c r="B19" s="115">
        <f t="shared" ref="B19:I19" si="15">(B16/B4)</f>
        <v>0.13586970215063443</v>
      </c>
      <c r="C19" s="115">
        <f t="shared" si="15"/>
        <v>0.11606033691724989</v>
      </c>
      <c r="D19" s="115">
        <f t="shared" si="15"/>
        <v>0.13927491489171573</v>
      </c>
      <c r="E19" s="115">
        <f t="shared" si="15"/>
        <v>0.1442717019068647</v>
      </c>
      <c r="F19" s="115">
        <f t="shared" si="15"/>
        <v>0.15781033538819539</v>
      </c>
      <c r="G19" s="115">
        <f t="shared" si="15"/>
        <v>0.17316565524218452</v>
      </c>
      <c r="H19" s="116">
        <f t="shared" si="15"/>
        <v>0.16303913505176576</v>
      </c>
      <c r="I19" s="116">
        <f t="shared" si="15"/>
        <v>0.11161500584067979</v>
      </c>
      <c r="J19" s="116">
        <f>(J16/J4)</f>
        <v>0.10777595021888346</v>
      </c>
      <c r="K19" s="116">
        <f>(K16/K4)</f>
        <v>0.13204707742697896</v>
      </c>
      <c r="L19"/>
      <c r="M19" s="102" t="s">
        <v>102</v>
      </c>
      <c r="N19" s="113"/>
      <c r="O19" s="325"/>
      <c r="P19" s="325"/>
      <c r="Q19" s="326"/>
      <c r="R19" s="416">
        <v>0.746</v>
      </c>
      <c r="S19" s="416">
        <v>0.47699999999999998</v>
      </c>
      <c r="T19" s="293">
        <v>2.5</v>
      </c>
      <c r="U19" s="416">
        <v>5.173</v>
      </c>
      <c r="V19" s="305">
        <v>3.47</v>
      </c>
    </row>
    <row r="20" spans="1:23" ht="15" customHeight="1">
      <c r="A20" s="102" t="s">
        <v>7</v>
      </c>
      <c r="B20" s="102">
        <v>29.943000000000001</v>
      </c>
      <c r="C20" s="287">
        <v>42.209000000000003</v>
      </c>
      <c r="D20" s="289">
        <v>49.491</v>
      </c>
      <c r="E20" s="289">
        <v>54.459000000000003</v>
      </c>
      <c r="F20" s="289">
        <v>59.594999999999999</v>
      </c>
      <c r="G20" s="289">
        <v>65.733000000000004</v>
      </c>
      <c r="H20" s="289">
        <v>71.31</v>
      </c>
      <c r="I20" s="289">
        <v>81.519000000000005</v>
      </c>
      <c r="J20" s="289">
        <v>92.784000000000006</v>
      </c>
      <c r="K20" s="289">
        <v>25.863</v>
      </c>
      <c r="L20"/>
      <c r="M20" s="267" t="s">
        <v>228</v>
      </c>
      <c r="N20" s="113">
        <v>14.179</v>
      </c>
      <c r="O20" s="325">
        <f>0.1+1.875</f>
        <v>1.9750000000000001</v>
      </c>
      <c r="P20" s="325">
        <f>0.1+2.185+1.314</f>
        <v>3.5990000000000002</v>
      </c>
      <c r="Q20" s="326">
        <f>0.2+0.151+1.378</f>
        <v>1.7289999999999999</v>
      </c>
      <c r="R20" s="416">
        <f>2.769+0.053</f>
        <v>2.8220000000000001</v>
      </c>
      <c r="S20" s="416">
        <v>3.5999999999999997E-2</v>
      </c>
      <c r="T20" s="293">
        <v>1.784</v>
      </c>
      <c r="U20" s="416">
        <v>2.0529999999999999</v>
      </c>
      <c r="V20" s="305">
        <v>2.097</v>
      </c>
    </row>
    <row r="21" spans="1:23" ht="15" customHeight="1">
      <c r="A21" s="102" t="s">
        <v>116</v>
      </c>
      <c r="B21" s="102">
        <v>39.209000000000003</v>
      </c>
      <c r="C21" s="287">
        <v>46.930999999999997</v>
      </c>
      <c r="D21" s="289">
        <v>57.557000000000002</v>
      </c>
      <c r="E21" s="289">
        <v>57.348999999999997</v>
      </c>
      <c r="F21" s="289">
        <v>65.790000000000006</v>
      </c>
      <c r="G21" s="289">
        <v>68.203000000000003</v>
      </c>
      <c r="H21" s="289">
        <v>68.56</v>
      </c>
      <c r="I21" s="289">
        <v>62.624000000000002</v>
      </c>
      <c r="J21" s="289">
        <v>42.393000000000001</v>
      </c>
      <c r="K21" s="289">
        <v>8.1159999999999997</v>
      </c>
      <c r="L21"/>
      <c r="M21" s="102" t="s">
        <v>103</v>
      </c>
      <c r="N21" s="113">
        <v>0.90300000000000002</v>
      </c>
      <c r="O21" s="325">
        <v>5.367</v>
      </c>
      <c r="P21" s="325">
        <v>14.787000000000001</v>
      </c>
      <c r="Q21" s="326">
        <v>12.567</v>
      </c>
      <c r="R21" s="416">
        <v>65.388000000000005</v>
      </c>
      <c r="S21" s="416">
        <v>29.876000000000001</v>
      </c>
      <c r="T21" s="293">
        <v>19.565999999999999</v>
      </c>
      <c r="U21" s="416">
        <v>8.15</v>
      </c>
      <c r="V21" s="305">
        <v>21.277999999999999</v>
      </c>
    </row>
    <row r="22" spans="1:23" ht="15" customHeight="1">
      <c r="A22" s="102" t="s">
        <v>117</v>
      </c>
      <c r="B22" s="102"/>
      <c r="C22" s="289">
        <v>0</v>
      </c>
      <c r="D22" s="289">
        <v>0</v>
      </c>
      <c r="E22" s="289">
        <v>0</v>
      </c>
      <c r="F22" s="289">
        <v>0</v>
      </c>
      <c r="G22" s="289">
        <v>0</v>
      </c>
      <c r="H22" s="289">
        <v>0</v>
      </c>
      <c r="I22" s="289">
        <v>0</v>
      </c>
      <c r="J22" s="289">
        <v>0</v>
      </c>
      <c r="K22" s="289">
        <v>0</v>
      </c>
      <c r="L22"/>
      <c r="M22" s="114" t="s">
        <v>177</v>
      </c>
      <c r="N22" s="113"/>
      <c r="O22" s="325">
        <v>15.723000000000001</v>
      </c>
      <c r="P22" s="325">
        <v>15.723000000000001</v>
      </c>
      <c r="Q22" s="326">
        <v>5.9550000000000001</v>
      </c>
      <c r="R22" s="416">
        <v>14.167</v>
      </c>
      <c r="S22" s="416">
        <v>18.303999999999998</v>
      </c>
      <c r="T22" s="293">
        <v>18.945</v>
      </c>
      <c r="U22" s="416">
        <v>18.23</v>
      </c>
      <c r="V22" s="305">
        <v>18.789000000000001</v>
      </c>
    </row>
    <row r="23" spans="1:23" ht="15" customHeight="1">
      <c r="A23" s="102" t="s">
        <v>167</v>
      </c>
      <c r="B23" s="102"/>
      <c r="C23" s="289">
        <v>0</v>
      </c>
      <c r="D23" s="289">
        <v>0</v>
      </c>
      <c r="E23" s="289">
        <v>0</v>
      </c>
      <c r="F23" s="289">
        <v>0</v>
      </c>
      <c r="G23" s="289">
        <v>0</v>
      </c>
      <c r="H23" s="289">
        <v>0</v>
      </c>
      <c r="I23" s="289">
        <v>0</v>
      </c>
      <c r="J23" s="289">
        <v>0</v>
      </c>
      <c r="K23" s="289">
        <v>0</v>
      </c>
      <c r="L23"/>
      <c r="M23" s="105" t="s">
        <v>43</v>
      </c>
      <c r="N23" s="106">
        <f t="shared" ref="N23:U23" si="16">SUM(N24:N30)</f>
        <v>342.89700000000005</v>
      </c>
      <c r="O23" s="291">
        <f t="shared" si="16"/>
        <v>547.59199999999998</v>
      </c>
      <c r="P23" s="291">
        <f t="shared" si="16"/>
        <v>681.17299999999989</v>
      </c>
      <c r="Q23" s="327">
        <f t="shared" si="16"/>
        <v>695.83899999999994</v>
      </c>
      <c r="R23" s="327">
        <f t="shared" si="16"/>
        <v>748.53899999999999</v>
      </c>
      <c r="S23" s="327">
        <f t="shared" si="16"/>
        <v>978.97100000000012</v>
      </c>
      <c r="T23" s="291">
        <f t="shared" si="16"/>
        <v>1372.5450000000003</v>
      </c>
      <c r="U23" s="291">
        <f t="shared" si="16"/>
        <v>1485.7270000000001</v>
      </c>
      <c r="V23" s="291">
        <f>SUM(V24:V30)</f>
        <v>1328.5250000000001</v>
      </c>
    </row>
    <row r="24" spans="1:23" ht="15" customHeight="1">
      <c r="A24" s="105" t="s">
        <v>8</v>
      </c>
      <c r="B24" s="314">
        <f>(B16-B20-B21+B22)+B5</f>
        <v>165.53600000000003</v>
      </c>
      <c r="C24" s="314">
        <f>(C16-C20-C21+C22)+C5</f>
        <v>148.44300000000013</v>
      </c>
      <c r="D24" s="295">
        <f>(D16-D20-D21+D22)+D5</f>
        <v>258.19900000000001</v>
      </c>
      <c r="E24" s="295">
        <f>(E16-E20-E21+E22)+E5</f>
        <v>292.20099999999996</v>
      </c>
      <c r="F24" s="295">
        <f>(F16-F20-F21+F22)+F5+F23</f>
        <v>424.17800000000011</v>
      </c>
      <c r="G24" s="295">
        <f>(G16-G20-G21+G22)+G5+G23</f>
        <v>555.60799999999983</v>
      </c>
      <c r="H24" s="295">
        <f>H16-H20-H21+H5</f>
        <v>912.38999999999862</v>
      </c>
      <c r="I24" s="295">
        <f>I16-I20-I21+I5</f>
        <v>585.92399999999964</v>
      </c>
      <c r="J24" s="295">
        <f>J16-J20-J21+J5</f>
        <v>545.96000000000072</v>
      </c>
      <c r="K24" s="295">
        <f>K16-K20-K21+K5</f>
        <v>186.16600000000014</v>
      </c>
      <c r="L24"/>
      <c r="M24" s="102" t="s">
        <v>44</v>
      </c>
      <c r="N24" s="113">
        <v>134.161</v>
      </c>
      <c r="O24" s="325">
        <v>231.51599999999999</v>
      </c>
      <c r="P24" s="325">
        <v>304.27199999999999</v>
      </c>
      <c r="Q24" s="326">
        <v>340.06200000000001</v>
      </c>
      <c r="R24" s="324">
        <v>352.46100000000001</v>
      </c>
      <c r="S24" s="324">
        <v>452.94900000000001</v>
      </c>
      <c r="T24" s="393">
        <v>700.25599999999997</v>
      </c>
      <c r="U24" s="102">
        <v>799.56899999999996</v>
      </c>
      <c r="V24" s="102">
        <v>697.01599999999996</v>
      </c>
    </row>
    <row r="25" spans="1:23" ht="15" customHeight="1">
      <c r="A25" s="102" t="s">
        <v>9</v>
      </c>
      <c r="B25" s="102">
        <v>59.542999999999999</v>
      </c>
      <c r="C25" s="287">
        <v>57.86</v>
      </c>
      <c r="D25" s="289">
        <v>64.23</v>
      </c>
      <c r="E25" s="289">
        <v>77.025000000000006</v>
      </c>
      <c r="F25" s="289">
        <v>77.137</v>
      </c>
      <c r="G25" s="103">
        <v>130.761</v>
      </c>
      <c r="H25" s="137">
        <f>219.05+14.3</f>
        <v>233.35000000000002</v>
      </c>
      <c r="I25" s="137">
        <v>150.91</v>
      </c>
      <c r="J25" s="137">
        <v>140.95699999999999</v>
      </c>
      <c r="K25" s="137">
        <v>47.643999999999998</v>
      </c>
      <c r="L25"/>
      <c r="M25" s="102" t="s">
        <v>45</v>
      </c>
      <c r="N25" s="113">
        <v>172.26599999999999</v>
      </c>
      <c r="O25" s="325">
        <v>253.93600000000001</v>
      </c>
      <c r="P25" s="325">
        <v>320.26299999999998</v>
      </c>
      <c r="Q25" s="326">
        <v>321.31299999999999</v>
      </c>
      <c r="R25" s="324">
        <v>378.79</v>
      </c>
      <c r="S25" s="324">
        <v>467.673</v>
      </c>
      <c r="T25" s="393">
        <v>622.21500000000003</v>
      </c>
      <c r="U25" s="102">
        <v>625.79100000000005</v>
      </c>
      <c r="V25" s="418">
        <v>568.13</v>
      </c>
    </row>
    <row r="26" spans="1:23" ht="15" customHeight="1">
      <c r="A26" s="107" t="s">
        <v>10</v>
      </c>
      <c r="B26" s="109">
        <f t="shared" ref="B26:C26" si="17">(B25/B24)</f>
        <v>0.35969819253817892</v>
      </c>
      <c r="C26" s="109">
        <f t="shared" si="17"/>
        <v>0.38977924186388008</v>
      </c>
      <c r="D26" s="109">
        <f t="shared" ref="D26:E26" si="18">(D25/D24)</f>
        <v>0.24876161410385014</v>
      </c>
      <c r="E26" s="109">
        <f t="shared" si="18"/>
        <v>0.26360279396716652</v>
      </c>
      <c r="F26" s="109">
        <f>(F25/F24)</f>
        <v>0.18185054387544847</v>
      </c>
      <c r="G26" s="109">
        <f>(G25/G24)</f>
        <v>0.23534758318814711</v>
      </c>
      <c r="H26" s="391">
        <f t="shared" ref="H26:I26" si="19">(H25/H24)</f>
        <v>0.25575685836100831</v>
      </c>
      <c r="I26" s="391">
        <f t="shared" si="19"/>
        <v>0.25755900082604583</v>
      </c>
      <c r="J26" s="391">
        <f>(J25/J24)</f>
        <v>0.25818191808923696</v>
      </c>
      <c r="K26" s="391">
        <f>(K25/K24)</f>
        <v>0.25592213400943226</v>
      </c>
      <c r="L26"/>
      <c r="M26" s="102" t="s">
        <v>46</v>
      </c>
      <c r="N26" s="113">
        <v>1.512</v>
      </c>
      <c r="O26" s="325">
        <f>3.373+1.356</f>
        <v>4.7290000000000001</v>
      </c>
      <c r="P26" s="325">
        <f>0.201+3.8</f>
        <v>4.0009999999999994</v>
      </c>
      <c r="Q26" s="325">
        <f>0.164+1.653</f>
        <v>1.8169999999999999</v>
      </c>
      <c r="R26" s="324">
        <f>0.308+1.787</f>
        <v>2.0949999999999998</v>
      </c>
      <c r="S26" s="324">
        <v>2.7</v>
      </c>
      <c r="T26" s="393">
        <v>1.681</v>
      </c>
      <c r="U26" s="102">
        <v>0.67600000000000005</v>
      </c>
      <c r="V26" s="102">
        <v>0.90200000000000002</v>
      </c>
    </row>
    <row r="27" spans="1:23" ht="15" customHeight="1">
      <c r="A27" s="105" t="s">
        <v>11</v>
      </c>
      <c r="B27" s="314">
        <f t="shared" ref="B27:C27" si="20">(B24-B25)</f>
        <v>105.99300000000002</v>
      </c>
      <c r="C27" s="314">
        <f t="shared" si="20"/>
        <v>90.583000000000126</v>
      </c>
      <c r="D27" s="295">
        <f t="shared" ref="D27:E27" si="21">(D24-D25)</f>
        <v>193.96899999999999</v>
      </c>
      <c r="E27" s="295">
        <f t="shared" si="21"/>
        <v>215.17599999999996</v>
      </c>
      <c r="F27" s="295">
        <f t="shared" ref="F27:K27" si="22">(F24-F25)</f>
        <v>347.04100000000011</v>
      </c>
      <c r="G27" s="295">
        <f t="shared" si="22"/>
        <v>424.84699999999987</v>
      </c>
      <c r="H27" s="295">
        <f t="shared" si="22"/>
        <v>679.0399999999986</v>
      </c>
      <c r="I27" s="295">
        <f t="shared" si="22"/>
        <v>435.01399999999967</v>
      </c>
      <c r="J27" s="295">
        <f t="shared" si="22"/>
        <v>405.00300000000072</v>
      </c>
      <c r="K27" s="295">
        <f t="shared" si="22"/>
        <v>138.52200000000013</v>
      </c>
      <c r="L27"/>
      <c r="M27" s="102" t="s">
        <v>175</v>
      </c>
      <c r="N27" s="113">
        <v>25.437000000000001</v>
      </c>
      <c r="O27" s="325">
        <v>1.7000000000000001E-2</v>
      </c>
      <c r="P27" s="325">
        <v>4.7E-2</v>
      </c>
      <c r="Q27" s="326">
        <v>7.3999999999999996E-2</v>
      </c>
      <c r="R27" s="324">
        <v>0.122</v>
      </c>
      <c r="S27" s="324">
        <v>1.7000000000000001E-2</v>
      </c>
      <c r="T27" s="393">
        <v>0.13</v>
      </c>
      <c r="U27" s="102">
        <v>0.13600000000000001</v>
      </c>
      <c r="V27" s="418">
        <v>0.14199999999999999</v>
      </c>
    </row>
    <row r="28" spans="1:23" ht="15" customHeight="1">
      <c r="A28" s="102" t="s">
        <v>12</v>
      </c>
      <c r="B28" s="102"/>
      <c r="C28" s="289">
        <v>0</v>
      </c>
      <c r="D28" s="289">
        <v>0</v>
      </c>
      <c r="E28" s="289">
        <v>0</v>
      </c>
      <c r="F28" s="289">
        <v>0</v>
      </c>
      <c r="G28" s="289">
        <v>0</v>
      </c>
      <c r="H28" s="289">
        <v>0</v>
      </c>
      <c r="I28" s="289">
        <v>0</v>
      </c>
      <c r="J28" s="289">
        <v>0</v>
      </c>
      <c r="K28" s="289">
        <v>0</v>
      </c>
      <c r="L28"/>
      <c r="M28" s="102" t="s">
        <v>178</v>
      </c>
      <c r="N28" s="113"/>
      <c r="O28" s="325">
        <v>19.873000000000001</v>
      </c>
      <c r="P28" s="325">
        <v>28.506</v>
      </c>
      <c r="Q28" s="326">
        <v>0.124</v>
      </c>
      <c r="R28" s="324">
        <v>0.124</v>
      </c>
      <c r="S28" s="324">
        <v>0.05</v>
      </c>
      <c r="T28" s="393">
        <v>7.4999999999999997E-2</v>
      </c>
      <c r="U28" s="102">
        <v>0.16200000000000001</v>
      </c>
      <c r="V28" s="102">
        <v>0.23899999999999999</v>
      </c>
    </row>
    <row r="29" spans="1:23" ht="15" customHeight="1">
      <c r="A29" s="102" t="s">
        <v>71</v>
      </c>
      <c r="B29" s="102"/>
      <c r="C29" s="287">
        <v>-3.4910000000000001</v>
      </c>
      <c r="D29" s="289">
        <v>-5.8000000000000003E-2</v>
      </c>
      <c r="E29" s="289">
        <v>-2.0920000000000001</v>
      </c>
      <c r="F29" s="296">
        <v>-0.96499999999999997</v>
      </c>
      <c r="G29" s="296">
        <v>-4.7089999999999996</v>
      </c>
      <c r="H29" s="296">
        <v>0.7</v>
      </c>
      <c r="I29" s="296">
        <v>5.36</v>
      </c>
      <c r="J29" s="296">
        <v>-0.61899999999999999</v>
      </c>
      <c r="K29" s="296">
        <v>-8.9999999999999993E-3</v>
      </c>
      <c r="L29"/>
      <c r="M29" s="102" t="s">
        <v>68</v>
      </c>
      <c r="N29" s="113">
        <v>9.5210000000000008</v>
      </c>
      <c r="O29" s="325">
        <v>37.521000000000001</v>
      </c>
      <c r="P29" s="325">
        <v>24.084</v>
      </c>
      <c r="Q29" s="326">
        <v>32.448999999999998</v>
      </c>
      <c r="R29" s="324">
        <v>14.946999999999999</v>
      </c>
      <c r="S29" s="324">
        <v>55.582000000000001</v>
      </c>
      <c r="T29" s="393">
        <v>48.188000000000002</v>
      </c>
      <c r="U29" s="102">
        <v>59.393000000000001</v>
      </c>
      <c r="V29" s="102">
        <v>62.095999999999997</v>
      </c>
    </row>
    <row r="30" spans="1:23" ht="15" customHeight="1">
      <c r="A30" s="105" t="s">
        <v>13</v>
      </c>
      <c r="B30" s="313">
        <f t="shared" ref="B30:G30" si="23">B27-B28+B29</f>
        <v>105.99300000000002</v>
      </c>
      <c r="C30" s="313">
        <f t="shared" si="23"/>
        <v>87.092000000000127</v>
      </c>
      <c r="D30" s="294">
        <f t="shared" si="23"/>
        <v>193.911</v>
      </c>
      <c r="E30" s="294">
        <f t="shared" si="23"/>
        <v>213.08399999999995</v>
      </c>
      <c r="F30" s="294">
        <f t="shared" si="23"/>
        <v>346.07600000000014</v>
      </c>
      <c r="G30" s="294">
        <f t="shared" si="23"/>
        <v>420.13799999999986</v>
      </c>
      <c r="H30" s="294">
        <f t="shared" ref="H30:J30" si="24">H27-H28+H29</f>
        <v>679.73999999999864</v>
      </c>
      <c r="I30" s="294">
        <f t="shared" si="24"/>
        <v>440.37399999999968</v>
      </c>
      <c r="J30" s="294">
        <f t="shared" si="24"/>
        <v>404.3840000000007</v>
      </c>
      <c r="K30" s="294">
        <f t="shared" ref="K30" si="25">K27-K28+K29</f>
        <v>138.51300000000015</v>
      </c>
      <c r="L30"/>
      <c r="M30" s="102"/>
      <c r="N30" s="113"/>
      <c r="O30" s="325"/>
      <c r="P30" s="325"/>
      <c r="Q30" s="326"/>
      <c r="R30" s="305"/>
      <c r="S30" s="305"/>
      <c r="T30" s="293"/>
      <c r="U30" s="102"/>
      <c r="V30" s="102"/>
    </row>
    <row r="31" spans="1:23" ht="15" customHeight="1">
      <c r="A31" s="105" t="s">
        <v>81</v>
      </c>
      <c r="B31" s="115">
        <f t="shared" ref="B31:J31" si="26">B30/B4</f>
        <v>6.3584990551606241E-2</v>
      </c>
      <c r="C31" s="115">
        <f t="shared" si="26"/>
        <v>4.271273854018879E-2</v>
      </c>
      <c r="D31" s="115">
        <f t="shared" si="26"/>
        <v>7.9852098747435013E-2</v>
      </c>
      <c r="E31" s="115">
        <f t="shared" si="26"/>
        <v>8.5277637371938858E-2</v>
      </c>
      <c r="F31" s="115">
        <f t="shared" si="26"/>
        <v>0.1129149610789951</v>
      </c>
      <c r="G31" s="115">
        <f t="shared" si="26"/>
        <v>0.10594312117878986</v>
      </c>
      <c r="H31" s="116">
        <f t="shared" si="26"/>
        <v>0.10568376340792568</v>
      </c>
      <c r="I31" s="116">
        <f t="shared" si="26"/>
        <v>6.7954651017451004E-2</v>
      </c>
      <c r="J31" s="116">
        <f t="shared" si="26"/>
        <v>6.5068677203146325E-2</v>
      </c>
      <c r="K31" s="116">
        <f>K30/K4</f>
        <v>8.3983767491691938E-2</v>
      </c>
      <c r="L31"/>
      <c r="M31" s="105" t="s">
        <v>47</v>
      </c>
      <c r="N31" s="106">
        <f t="shared" ref="N31:Q31" si="27">SUM(N32:N38)</f>
        <v>146.50199999999998</v>
      </c>
      <c r="O31" s="291">
        <f t="shared" ref="O31" si="28">SUM(O32:O38)</f>
        <v>211.48699999999999</v>
      </c>
      <c r="P31" s="291">
        <f t="shared" si="27"/>
        <v>229.63500000000002</v>
      </c>
      <c r="Q31" s="327">
        <f t="shared" si="27"/>
        <v>232.80500000000001</v>
      </c>
      <c r="R31" s="291">
        <f>SUM(R32:R38)</f>
        <v>186.62999999999997</v>
      </c>
      <c r="S31" s="291">
        <f>SUM(S32:S38)</f>
        <v>285.3</v>
      </c>
      <c r="T31" s="291">
        <f>SUM(T32:T38)</f>
        <v>153.40100000000001</v>
      </c>
      <c r="U31" s="291">
        <f>SUM(U32:U38)</f>
        <v>166.07399999999998</v>
      </c>
      <c r="V31" s="291">
        <f>SUM(V32:V38)</f>
        <v>187.47499999999999</v>
      </c>
      <c r="W31" s="88"/>
    </row>
    <row r="32" spans="1:23" ht="15" customHeight="1">
      <c r="A32" s="107" t="s">
        <v>2</v>
      </c>
      <c r="B32" s="297" t="e">
        <f t="shared" ref="B32:C32" si="29">B30/A30-1</f>
        <v>#VALUE!</v>
      </c>
      <c r="C32" s="412">
        <f t="shared" si="29"/>
        <v>-0.17832309680827874</v>
      </c>
      <c r="D32" s="412">
        <f t="shared" ref="D32:I32" si="30">D30/C30-1</f>
        <v>1.2265076011573934</v>
      </c>
      <c r="E32" s="412">
        <f t="shared" si="30"/>
        <v>9.8875257205625067E-2</v>
      </c>
      <c r="F32" s="412">
        <f t="shared" si="30"/>
        <v>0.62412945129620345</v>
      </c>
      <c r="G32" s="412">
        <f t="shared" si="30"/>
        <v>0.21400501623920665</v>
      </c>
      <c r="H32" s="412">
        <f t="shared" si="30"/>
        <v>0.61789697670765054</v>
      </c>
      <c r="I32" s="412">
        <f t="shared" si="30"/>
        <v>-0.35214346661958906</v>
      </c>
      <c r="J32" s="412">
        <f>J30/I30-1</f>
        <v>-8.172598745611459E-2</v>
      </c>
      <c r="K32" s="412"/>
      <c r="L32"/>
      <c r="M32" s="102" t="s">
        <v>83</v>
      </c>
      <c r="N32" s="113">
        <v>28.163</v>
      </c>
      <c r="O32" s="325">
        <v>60.302999999999997</v>
      </c>
      <c r="P32" s="325">
        <f>3.711+70.283</f>
        <v>73.994</v>
      </c>
      <c r="Q32" s="325">
        <f>5.774+94.223</f>
        <v>99.997</v>
      </c>
      <c r="R32" s="324">
        <f>4.129+59.986</f>
        <v>64.114999999999995</v>
      </c>
      <c r="S32" s="324">
        <f>(63.34+1028.13)/10</f>
        <v>109.14700000000001</v>
      </c>
      <c r="T32" s="393">
        <f>(101.46+803.84)/10</f>
        <v>90.53</v>
      </c>
      <c r="U32" s="102">
        <v>105.69499999999999</v>
      </c>
      <c r="V32" s="102">
        <v>130.22</v>
      </c>
      <c r="W32" s="1">
        <f>1266.51+35.69</f>
        <v>1302.2</v>
      </c>
    </row>
    <row r="33" spans="1:23" ht="15" customHeight="1">
      <c r="A33" s="107" t="s">
        <v>214</v>
      </c>
      <c r="B33" s="107"/>
      <c r="C33" s="312"/>
      <c r="D33" s="292"/>
      <c r="E33" s="292"/>
      <c r="F33" s="292"/>
      <c r="G33" s="109">
        <f>((G31/B31)^(1/5)-1)</f>
        <v>0.10749973373001143</v>
      </c>
      <c r="H33" s="109">
        <f>((H31/C31)^(1/5)-1)</f>
        <v>0.1986438751994033</v>
      </c>
      <c r="I33" s="109">
        <f>((I31/D31)^(1/5)-1)</f>
        <v>-3.1752085434868405E-2</v>
      </c>
      <c r="J33" s="109">
        <f>((J31/E31)^(1/5)-1)</f>
        <v>-5.2656753005058898E-2</v>
      </c>
      <c r="K33" s="109"/>
      <c r="L33"/>
      <c r="M33" s="102" t="s">
        <v>84</v>
      </c>
      <c r="N33" s="113"/>
      <c r="O33" s="325">
        <v>128.31700000000001</v>
      </c>
      <c r="P33" s="325">
        <v>141.90299999999999</v>
      </c>
      <c r="Q33" s="326">
        <v>112.38</v>
      </c>
      <c r="R33" s="324">
        <v>80.575999999999993</v>
      </c>
      <c r="S33" s="324">
        <v>106.605</v>
      </c>
      <c r="T33" s="393">
        <v>7.5940000000000003</v>
      </c>
      <c r="U33" s="102">
        <v>10.656000000000001</v>
      </c>
      <c r="V33" s="102">
        <v>2.7549999999999999</v>
      </c>
    </row>
    <row r="34" spans="1:23" ht="15" customHeight="1">
      <c r="A34" s="101" t="s">
        <v>14</v>
      </c>
      <c r="B34" s="101">
        <v>7.68</v>
      </c>
      <c r="C34" s="286">
        <v>2.96</v>
      </c>
      <c r="D34" s="290">
        <v>4.97</v>
      </c>
      <c r="E34" s="290">
        <v>5.51</v>
      </c>
      <c r="F34" s="290">
        <v>26.65</v>
      </c>
      <c r="G34" s="290">
        <v>32.630000000000003</v>
      </c>
      <c r="H34" s="290">
        <v>52.15</v>
      </c>
      <c r="I34" s="290">
        <v>33.409999999999997</v>
      </c>
      <c r="J34" s="290">
        <v>31.1</v>
      </c>
      <c r="K34" s="290">
        <v>10.64</v>
      </c>
      <c r="L34"/>
      <c r="M34" s="102" t="s">
        <v>79</v>
      </c>
      <c r="N34" s="113">
        <v>76.212999999999994</v>
      </c>
      <c r="O34" s="325">
        <v>20.088000000000001</v>
      </c>
      <c r="P34" s="325">
        <v>7.3540000000000001</v>
      </c>
      <c r="Q34" s="326">
        <v>8.3190000000000008</v>
      </c>
      <c r="R34" s="324">
        <v>28.785</v>
      </c>
      <c r="S34" s="324">
        <v>45.981000000000002</v>
      </c>
      <c r="T34" s="393">
        <v>35.905999999999999</v>
      </c>
      <c r="U34" s="102">
        <v>35.854999999999997</v>
      </c>
      <c r="V34" s="102">
        <v>42.582999999999998</v>
      </c>
    </row>
    <row r="35" spans="1:23" ht="15.5">
      <c r="A35" s="122" t="s">
        <v>2</v>
      </c>
      <c r="B35" s="122"/>
      <c r="C35" s="412"/>
      <c r="D35" s="412">
        <f t="shared" ref="D35:I35" si="31">D34/C34-1</f>
        <v>0.67905405405405395</v>
      </c>
      <c r="E35" s="412">
        <f t="shared" si="31"/>
        <v>0.10865191146881292</v>
      </c>
      <c r="F35" s="412">
        <f t="shared" si="31"/>
        <v>3.8366606170598914</v>
      </c>
      <c r="G35" s="412">
        <f t="shared" si="31"/>
        <v>0.22439024390243922</v>
      </c>
      <c r="H35" s="412">
        <f t="shared" si="31"/>
        <v>0.59822249463683708</v>
      </c>
      <c r="I35" s="412">
        <f t="shared" si="31"/>
        <v>-0.35934803451581976</v>
      </c>
      <c r="J35" s="412">
        <f>J34/I34-1</f>
        <v>-6.9140975755761613E-2</v>
      </c>
      <c r="K35" s="412"/>
      <c r="L35"/>
      <c r="M35" s="102" t="s">
        <v>164</v>
      </c>
      <c r="N35" s="113"/>
      <c r="O35" s="325"/>
      <c r="P35" s="325"/>
      <c r="Q35" s="326"/>
      <c r="R35" s="324"/>
      <c r="S35" s="324"/>
      <c r="T35" s="393"/>
      <c r="U35" s="102"/>
      <c r="V35" s="102"/>
    </row>
    <row r="36" spans="1:23" ht="15.5">
      <c r="A36" s="122" t="s">
        <v>230</v>
      </c>
      <c r="B36" s="122"/>
      <c r="C36" s="315"/>
      <c r="D36" s="298"/>
      <c r="E36" s="298"/>
      <c r="F36" s="298"/>
      <c r="G36" s="109">
        <f>((G34/B34)^(1/5)-1)</f>
        <v>0.33552238199398166</v>
      </c>
      <c r="H36" s="109">
        <f>((H34/C34)^(1/5)-1)</f>
        <v>0.77497614361855938</v>
      </c>
      <c r="I36" s="109">
        <f>((I34/D34)^(1/5)-1)</f>
        <v>0.46387507886167301</v>
      </c>
      <c r="J36" s="109">
        <f>((J34/E34)^(1/5)-1)</f>
        <v>0.41358444650023718</v>
      </c>
      <c r="K36" s="109"/>
      <c r="L36"/>
      <c r="M36" s="102" t="s">
        <v>98</v>
      </c>
      <c r="N36" s="113">
        <v>42.125999999999998</v>
      </c>
      <c r="O36" s="325">
        <v>2.7789999999999999</v>
      </c>
      <c r="P36" s="325">
        <v>2.5259999999999998</v>
      </c>
      <c r="Q36" s="326">
        <v>5.75</v>
      </c>
      <c r="R36" s="324">
        <v>3.3759999999999999</v>
      </c>
      <c r="S36" s="324">
        <v>10.209</v>
      </c>
      <c r="T36" s="393">
        <v>9.8889999999999993</v>
      </c>
      <c r="U36" s="102">
        <v>8.9849999999999994</v>
      </c>
      <c r="V36" s="102">
        <v>11.301</v>
      </c>
    </row>
    <row r="37" spans="1:23" ht="15.5">
      <c r="C37" s="316"/>
      <c r="D37" s="299"/>
      <c r="E37" s="299"/>
      <c r="F37" s="299"/>
      <c r="I37" s="407">
        <f>(I4-I10)/I4</f>
        <v>0.22637688047515503</v>
      </c>
      <c r="J37" s="407">
        <f>(J4-J10)/J4</f>
        <v>0.2634346228618929</v>
      </c>
      <c r="K37" s="407"/>
      <c r="L37"/>
      <c r="M37" s="102" t="s">
        <v>99</v>
      </c>
      <c r="N37" s="113"/>
      <c r="O37" s="328" t="s">
        <v>128</v>
      </c>
      <c r="P37" s="325">
        <v>3.8580000000000001</v>
      </c>
      <c r="Q37" s="326">
        <v>6.359</v>
      </c>
      <c r="R37" s="324">
        <v>9.7780000000000005</v>
      </c>
      <c r="S37" s="324">
        <v>13.358000000000001</v>
      </c>
      <c r="T37" s="393">
        <v>9.4819999999999993</v>
      </c>
      <c r="U37" s="102">
        <v>4.883</v>
      </c>
      <c r="V37" s="102">
        <v>0.61599999999999999</v>
      </c>
    </row>
    <row r="38" spans="1:23" ht="15.5">
      <c r="A38" s="114"/>
      <c r="B38" s="114"/>
      <c r="C38" s="317"/>
      <c r="D38" s="300"/>
      <c r="E38" s="300"/>
      <c r="F38" s="300"/>
      <c r="G38" s="249"/>
      <c r="H38" s="249"/>
      <c r="I38" s="406"/>
      <c r="J38" s="406"/>
      <c r="K38" s="406"/>
      <c r="L38"/>
      <c r="M38" s="102"/>
      <c r="N38" s="113"/>
      <c r="O38" s="325"/>
      <c r="P38" s="325"/>
      <c r="Q38" s="326"/>
      <c r="R38" s="324"/>
      <c r="S38" s="324"/>
      <c r="T38" s="393"/>
      <c r="U38" s="102"/>
      <c r="V38" s="102"/>
    </row>
    <row r="39" spans="1:23" ht="15.5">
      <c r="A39" s="114"/>
      <c r="B39" s="114"/>
      <c r="C39" s="317"/>
      <c r="D39" s="301"/>
      <c r="E39" s="301"/>
      <c r="F39" s="301"/>
      <c r="G39" s="241"/>
      <c r="H39" s="241"/>
      <c r="I39" s="241"/>
      <c r="J39" s="241"/>
      <c r="K39" s="241"/>
      <c r="L39"/>
      <c r="M39" s="105" t="s">
        <v>48</v>
      </c>
      <c r="N39" s="106">
        <f t="shared" ref="N39:U39" si="32">(N23-N31-N9)</f>
        <v>26.418000000000063</v>
      </c>
      <c r="O39" s="291">
        <f t="shared" si="32"/>
        <v>20.838000000000022</v>
      </c>
      <c r="P39" s="291">
        <f t="shared" si="32"/>
        <v>63.790999999999883</v>
      </c>
      <c r="Q39" s="327">
        <f t="shared" si="32"/>
        <v>58.133999999999958</v>
      </c>
      <c r="R39" s="291">
        <f t="shared" si="32"/>
        <v>118.17199999999997</v>
      </c>
      <c r="S39" s="291">
        <f t="shared" si="32"/>
        <v>471.33900000000006</v>
      </c>
      <c r="T39" s="291">
        <f t="shared" si="32"/>
        <v>698.71400000000028</v>
      </c>
      <c r="U39" s="291">
        <f t="shared" si="32"/>
        <v>817.97700000000009</v>
      </c>
      <c r="V39" s="291">
        <f>(V23-V31-V9)</f>
        <v>1067.8730000000003</v>
      </c>
    </row>
    <row r="40" spans="1:23" ht="15.5">
      <c r="A40" s="127" t="s">
        <v>15</v>
      </c>
      <c r="B40" s="127"/>
      <c r="C40" s="318"/>
      <c r="D40" s="302"/>
      <c r="E40" s="302"/>
      <c r="F40" s="302"/>
      <c r="G40" s="242"/>
      <c r="H40" s="242"/>
      <c r="I40" s="242"/>
      <c r="J40" s="242"/>
      <c r="K40" s="242"/>
      <c r="L40"/>
      <c r="M40" s="102" t="s">
        <v>49</v>
      </c>
      <c r="N40" s="113">
        <v>77.230999999999995</v>
      </c>
      <c r="O40" s="325">
        <v>97.225999999999999</v>
      </c>
      <c r="P40" s="325">
        <v>104.102</v>
      </c>
      <c r="Q40" s="326">
        <v>121.574</v>
      </c>
      <c r="R40" s="324">
        <v>116.29</v>
      </c>
      <c r="S40" s="324">
        <v>113.509</v>
      </c>
      <c r="T40" s="393">
        <v>128.05600000000001</v>
      </c>
      <c r="U40" s="102">
        <v>145.80500000000001</v>
      </c>
      <c r="V40" s="102">
        <v>161.24299999999999</v>
      </c>
    </row>
    <row r="41" spans="1:23" ht="15.5">
      <c r="A41" s="101" t="s">
        <v>0</v>
      </c>
      <c r="B41" s="101"/>
      <c r="C41" s="319" t="s">
        <v>34</v>
      </c>
      <c r="D41" s="303" t="s">
        <v>87</v>
      </c>
      <c r="E41" s="303" t="s">
        <v>133</v>
      </c>
      <c r="F41" s="303" t="s">
        <v>166</v>
      </c>
      <c r="G41" s="130" t="s">
        <v>213</v>
      </c>
      <c r="H41" s="401" t="s">
        <v>224</v>
      </c>
      <c r="I41" s="130" t="s">
        <v>226</v>
      </c>
      <c r="J41" s="130" t="s">
        <v>233</v>
      </c>
      <c r="K41" s="421"/>
      <c r="L41"/>
      <c r="M41" s="102" t="s">
        <v>86</v>
      </c>
      <c r="N41" s="113"/>
      <c r="O41" s="325"/>
      <c r="P41" s="325"/>
      <c r="Q41" s="326"/>
      <c r="R41" s="324"/>
      <c r="S41" s="324"/>
      <c r="T41" s="393"/>
      <c r="U41" s="102"/>
      <c r="V41" s="102"/>
    </row>
    <row r="42" spans="1:23" ht="15.5">
      <c r="A42" s="101" t="s">
        <v>16</v>
      </c>
      <c r="B42" s="101"/>
      <c r="C42" s="304">
        <v>0.54100000000000004</v>
      </c>
      <c r="D42" s="304">
        <v>3.3730000000000002</v>
      </c>
      <c r="E42" s="304">
        <v>0.20100000000000001</v>
      </c>
      <c r="F42" s="304">
        <v>0.16400000000000001</v>
      </c>
      <c r="G42" s="304">
        <f>F47</f>
        <v>0.30799999999997707</v>
      </c>
      <c r="H42" s="413">
        <v>0.3</v>
      </c>
      <c r="I42" s="304">
        <v>8.3000000000000004E-2</v>
      </c>
      <c r="J42" s="304">
        <f>I47</f>
        <v>7.7999999999947708E-2</v>
      </c>
      <c r="K42" s="447"/>
      <c r="L42"/>
      <c r="M42" s="102" t="s">
        <v>164</v>
      </c>
      <c r="N42" s="113"/>
      <c r="O42" s="325"/>
      <c r="P42" s="325"/>
      <c r="Q42" s="326"/>
      <c r="R42" s="324"/>
      <c r="S42" s="324"/>
      <c r="T42" s="393"/>
      <c r="U42" s="102"/>
      <c r="V42" s="102"/>
    </row>
    <row r="43" spans="1:23" ht="15.5">
      <c r="A43" s="101" t="s">
        <v>17</v>
      </c>
      <c r="B43" s="101"/>
      <c r="C43" s="304">
        <v>38.253</v>
      </c>
      <c r="D43" s="304">
        <v>154.66999999999999</v>
      </c>
      <c r="E43" s="304">
        <v>342.00200000000001</v>
      </c>
      <c r="F43" s="304">
        <v>311.76</v>
      </c>
      <c r="G43" s="304">
        <v>394.25900000000001</v>
      </c>
      <c r="H43" s="413">
        <v>404.85</v>
      </c>
      <c r="I43" s="304">
        <v>496.15</v>
      </c>
      <c r="J43" s="304">
        <v>744.80499999999995</v>
      </c>
      <c r="K43" s="447"/>
      <c r="L43"/>
      <c r="M43" s="102" t="s">
        <v>72</v>
      </c>
      <c r="N43" s="113">
        <v>3.22</v>
      </c>
      <c r="O43" s="325">
        <v>6.5819999999999999</v>
      </c>
      <c r="P43" s="325">
        <v>6.1950000000000003</v>
      </c>
      <c r="Q43" s="326">
        <v>8.9540000000000006</v>
      </c>
      <c r="R43" s="324">
        <v>11.433</v>
      </c>
      <c r="S43" s="324">
        <v>17.72</v>
      </c>
      <c r="T43" s="393">
        <v>17.498000000000001</v>
      </c>
      <c r="U43" s="102">
        <v>17.923999999999999</v>
      </c>
      <c r="V43" s="102">
        <v>21.870999999999999</v>
      </c>
    </row>
    <row r="44" spans="1:23" ht="15.5">
      <c r="A44" s="102" t="s">
        <v>80</v>
      </c>
      <c r="B44" s="102"/>
      <c r="C44" s="305">
        <v>-201.476</v>
      </c>
      <c r="D44" s="305">
        <v>-125.806</v>
      </c>
      <c r="E44" s="305">
        <v>-136.774</v>
      </c>
      <c r="F44" s="305">
        <v>-239.03200000000001</v>
      </c>
      <c r="G44" s="305">
        <v>-228</v>
      </c>
      <c r="H44" s="326">
        <v>-341.84</v>
      </c>
      <c r="I44" s="305">
        <v>-144.91800000000001</v>
      </c>
      <c r="J44" s="305">
        <v>-176.25040000000001</v>
      </c>
      <c r="K44" s="448"/>
      <c r="L44"/>
      <c r="M44" s="265"/>
      <c r="N44" s="156"/>
      <c r="O44" s="329"/>
      <c r="P44" s="329"/>
      <c r="Q44" s="329"/>
      <c r="R44" s="296"/>
      <c r="S44" s="296"/>
      <c r="T44" s="394"/>
      <c r="U44" s="102"/>
      <c r="V44" s="102"/>
    </row>
    <row r="45" spans="1:23" ht="15.5">
      <c r="A45" s="102" t="s">
        <v>18</v>
      </c>
      <c r="B45" s="102"/>
      <c r="C45" s="305">
        <v>166.05500000000001</v>
      </c>
      <c r="D45" s="305">
        <v>-32.036000000000001</v>
      </c>
      <c r="E45" s="305">
        <v>-205.26499999999999</v>
      </c>
      <c r="F45" s="305">
        <v>-72.584000000000003</v>
      </c>
      <c r="G45" s="305">
        <v>-166</v>
      </c>
      <c r="H45" s="326">
        <v>-63.189</v>
      </c>
      <c r="I45" s="305">
        <v>-351.23700000000002</v>
      </c>
      <c r="J45" s="305">
        <v>-568.54899999999998</v>
      </c>
      <c r="K45" s="448"/>
      <c r="L45"/>
      <c r="M45" s="105" t="s">
        <v>93</v>
      </c>
      <c r="N45" s="111">
        <f t="shared" ref="N45:U45" si="33">SUM(N15:N22)+N23</f>
        <v>1144.71</v>
      </c>
      <c r="O45" s="295">
        <f t="shared" si="33"/>
        <v>1537.8119999999999</v>
      </c>
      <c r="P45" s="295">
        <f t="shared" si="33"/>
        <v>1764.5629999999996</v>
      </c>
      <c r="Q45" s="330">
        <f t="shared" si="33"/>
        <v>1877.3059999999998</v>
      </c>
      <c r="R45" s="330">
        <f t="shared" si="33"/>
        <v>2188.6129999999998</v>
      </c>
      <c r="S45" s="330">
        <f t="shared" si="33"/>
        <v>2584.9060000000004</v>
      </c>
      <c r="T45" s="295">
        <f t="shared" si="33"/>
        <v>3240.7800000000007</v>
      </c>
      <c r="U45" s="295">
        <f t="shared" si="33"/>
        <v>3424.0800000000008</v>
      </c>
      <c r="V45" s="295">
        <f>SUM(V15:V22)+V23</f>
        <v>3343.0940000000001</v>
      </c>
    </row>
    <row r="46" spans="1:23" ht="15.5">
      <c r="A46" s="101" t="s">
        <v>19</v>
      </c>
      <c r="B46" s="101"/>
      <c r="C46" s="291">
        <f t="shared" ref="C46:D46" si="34">+C43+C44+C45</f>
        <v>2.8319999999999936</v>
      </c>
      <c r="D46" s="291">
        <f t="shared" si="34"/>
        <v>-3.1720000000000113</v>
      </c>
      <c r="E46" s="291">
        <f>+E43+E44+E45</f>
        <v>-3.6999999999977717E-2</v>
      </c>
      <c r="F46" s="291">
        <f>+F43+F44+F45</f>
        <v>0.14399999999997704</v>
      </c>
      <c r="G46" s="291">
        <f>+G43+G44+G45</f>
        <v>0.25900000000001455</v>
      </c>
      <c r="H46" s="327">
        <f>H43+H44+H45</f>
        <v>-0.17899999999995231</v>
      </c>
      <c r="I46" s="291">
        <f>I43+I44+I45</f>
        <v>-5.0000000000522959E-3</v>
      </c>
      <c r="J46" s="291">
        <f>J43+J44+J45</f>
        <v>5.599999999958527E-3</v>
      </c>
      <c r="K46" s="447"/>
      <c r="L46"/>
      <c r="M46" s="105" t="s">
        <v>94</v>
      </c>
      <c r="N46" s="111">
        <f>N43+N31+N10+N6+N40+N41+N44+N7</f>
        <v>1144.71</v>
      </c>
      <c r="O46" s="295">
        <f>O43+O31+O10+O6+O40+O41+O44+O7</f>
        <v>1537.8119999999999</v>
      </c>
      <c r="P46" s="295">
        <f>P43+P31+P10+P6+P40+P41+P44+P7</f>
        <v>1764.5630000000001</v>
      </c>
      <c r="Q46" s="330">
        <f>Q43+Q31+Q10+Q6+Q40+Q41+Q44+Q7</f>
        <v>1877.306</v>
      </c>
      <c r="R46" s="330">
        <f>R43+R31+R10+R6+R40+R41+R44+R7+R42</f>
        <v>2188.6130000000003</v>
      </c>
      <c r="S46" s="330">
        <f>S43+S31+S10+S6+S40+S41+S44+S7+S42</f>
        <v>2586.0259999999998</v>
      </c>
      <c r="T46" s="295">
        <f>T43+T31+T10+T6+T40+T41+T44+T7+T42</f>
        <v>3240.7440000000001</v>
      </c>
      <c r="U46" s="295">
        <f>U43+U31+U10+U6+U40+U41+U44+U7+U42</f>
        <v>3424.0799999999995</v>
      </c>
      <c r="V46" s="295">
        <f>V43+V31+V10+V6+V40+V41+V44+V7+V42</f>
        <v>3343.0940000000001</v>
      </c>
    </row>
    <row r="47" spans="1:23" ht="15.5">
      <c r="A47" s="101" t="s">
        <v>73</v>
      </c>
      <c r="B47" s="101"/>
      <c r="C47" s="291">
        <f t="shared" ref="C47:I47" si="35">C46+C42</f>
        <v>3.3729999999999936</v>
      </c>
      <c r="D47" s="291">
        <f t="shared" si="35"/>
        <v>0.20099999999998897</v>
      </c>
      <c r="E47" s="291">
        <f t="shared" si="35"/>
        <v>0.16400000000002229</v>
      </c>
      <c r="F47" s="291">
        <f t="shared" si="35"/>
        <v>0.30799999999997707</v>
      </c>
      <c r="G47" s="291">
        <f t="shared" si="35"/>
        <v>0.56699999999999162</v>
      </c>
      <c r="H47" s="327">
        <f t="shared" si="35"/>
        <v>0.12100000000004768</v>
      </c>
      <c r="I47" s="291">
        <f t="shared" si="35"/>
        <v>7.7999999999947708E-2</v>
      </c>
      <c r="J47" s="291">
        <f>J46+J42</f>
        <v>8.3599999999906235E-2</v>
      </c>
      <c r="K47" s="447"/>
      <c r="L47"/>
      <c r="M47" s="127" t="s">
        <v>50</v>
      </c>
      <c r="N47" s="104"/>
      <c r="O47" s="250"/>
      <c r="P47" s="250"/>
      <c r="Q47" s="114"/>
      <c r="R47" s="251"/>
      <c r="S47" s="251"/>
      <c r="T47" s="155"/>
      <c r="U47" s="102"/>
      <c r="V47" s="102"/>
    </row>
    <row r="48" spans="1:23" ht="15.5">
      <c r="A48" s="114"/>
      <c r="B48" s="114"/>
      <c r="C48" s="317"/>
      <c r="D48" s="306"/>
      <c r="E48" s="306"/>
      <c r="F48" s="306"/>
      <c r="G48" s="104"/>
      <c r="H48" s="104"/>
      <c r="I48" s="172"/>
      <c r="J48" s="172"/>
      <c r="K48" s="422"/>
      <c r="L48"/>
      <c r="M48" s="101" t="s">
        <v>51</v>
      </c>
      <c r="N48" s="163" t="s">
        <v>33</v>
      </c>
      <c r="O48" s="144" t="s">
        <v>34</v>
      </c>
      <c r="P48" s="144" t="s">
        <v>87</v>
      </c>
      <c r="Q48" s="252" t="s">
        <v>133</v>
      </c>
      <c r="R48" s="253" t="s">
        <v>166</v>
      </c>
      <c r="S48" s="253" t="s">
        <v>213</v>
      </c>
      <c r="T48" s="387" t="s">
        <v>224</v>
      </c>
      <c r="U48" s="253" t="s">
        <v>226</v>
      </c>
      <c r="V48" s="253" t="s">
        <v>233</v>
      </c>
      <c r="W48" s="253" t="s">
        <v>235</v>
      </c>
    </row>
    <row r="49" spans="1:24" ht="15.5">
      <c r="A49" s="129" t="s">
        <v>20</v>
      </c>
      <c r="B49" s="129"/>
      <c r="C49" s="320"/>
      <c r="D49" s="307" t="s">
        <v>87</v>
      </c>
      <c r="E49" s="307" t="s">
        <v>133</v>
      </c>
      <c r="F49" s="307" t="s">
        <v>166</v>
      </c>
      <c r="G49" s="130" t="s">
        <v>213</v>
      </c>
      <c r="H49" s="401" t="s">
        <v>224</v>
      </c>
      <c r="I49" s="130" t="s">
        <v>226</v>
      </c>
      <c r="J49" s="130" t="s">
        <v>233</v>
      </c>
      <c r="K49" s="421"/>
      <c r="L49"/>
      <c r="M49" s="158" t="s">
        <v>229</v>
      </c>
      <c r="N49" s="121"/>
      <c r="O49" s="159"/>
      <c r="P49" s="159"/>
      <c r="Q49" s="165"/>
      <c r="R49" s="121"/>
      <c r="S49" s="121">
        <v>748.6</v>
      </c>
      <c r="T49" s="388">
        <v>1504.8</v>
      </c>
      <c r="U49" s="415">
        <v>914.1</v>
      </c>
      <c r="V49" s="419">
        <v>1187</v>
      </c>
      <c r="W49" s="419">
        <v>1374</v>
      </c>
    </row>
    <row r="50" spans="1:24" ht="15.5">
      <c r="A50" s="101" t="s">
        <v>26</v>
      </c>
      <c r="B50" s="101"/>
      <c r="C50" s="286"/>
      <c r="D50" s="295">
        <f t="shared" ref="D50:I50" si="36">D43</f>
        <v>154.66999999999999</v>
      </c>
      <c r="E50" s="295">
        <f t="shared" si="36"/>
        <v>342.00200000000001</v>
      </c>
      <c r="F50" s="295">
        <f t="shared" si="36"/>
        <v>311.76</v>
      </c>
      <c r="G50" s="295">
        <f t="shared" si="36"/>
        <v>394.25900000000001</v>
      </c>
      <c r="H50" s="330">
        <f t="shared" si="36"/>
        <v>404.85</v>
      </c>
      <c r="I50" s="295">
        <f t="shared" si="36"/>
        <v>496.15</v>
      </c>
      <c r="J50" s="295">
        <f t="shared" ref="J50" si="37">J43</f>
        <v>744.80499999999995</v>
      </c>
      <c r="K50" s="449"/>
      <c r="L50"/>
      <c r="M50" s="118" t="s">
        <v>53</v>
      </c>
      <c r="N50" s="134" t="e">
        <f>#REF!</f>
        <v>#REF!</v>
      </c>
      <c r="O50" s="331">
        <f>C34</f>
        <v>2.96</v>
      </c>
      <c r="P50" s="331">
        <f>D34</f>
        <v>4.97</v>
      </c>
      <c r="Q50" s="332">
        <f>E34</f>
        <v>5.51</v>
      </c>
      <c r="R50" s="331">
        <f>F34</f>
        <v>26.65</v>
      </c>
      <c r="S50" s="331">
        <v>32.630000000000003</v>
      </c>
      <c r="T50" s="331">
        <v>52.15</v>
      </c>
      <c r="U50" s="398">
        <f>I34</f>
        <v>33.409999999999997</v>
      </c>
      <c r="V50" s="398">
        <f>J34</f>
        <v>31.1</v>
      </c>
      <c r="W50" s="398">
        <f>10.64+9.03+9.47+7.9</f>
        <v>37.04</v>
      </c>
    </row>
    <row r="51" spans="1:24" ht="15.5">
      <c r="A51" s="102" t="s">
        <v>27</v>
      </c>
      <c r="B51" s="102"/>
      <c r="C51" s="287"/>
      <c r="D51" s="310">
        <v>-151.30000000000001</v>
      </c>
      <c r="E51" s="310">
        <v>-176.5</v>
      </c>
      <c r="F51" s="310">
        <v>-303.29300000000001</v>
      </c>
      <c r="G51" s="310">
        <v>-231.22800000000001</v>
      </c>
      <c r="H51" s="414">
        <v>-345</v>
      </c>
      <c r="I51" s="310">
        <f>-147.259+23.04</f>
        <v>-124.21899999999999</v>
      </c>
      <c r="J51" s="310">
        <f>-181.28+4.684</f>
        <v>-176.596</v>
      </c>
      <c r="K51" s="450"/>
      <c r="L51"/>
      <c r="M51" s="266" t="s">
        <v>54</v>
      </c>
      <c r="N51" s="333" t="e">
        <f>(N6*1000000)/B55</f>
        <v>#DIV/0!</v>
      </c>
      <c r="O51" s="333" t="s">
        <v>128</v>
      </c>
      <c r="P51" s="333">
        <f t="shared" ref="P51:U51" si="38">(P6*1000000)/D55</f>
        <v>36.085791979133667</v>
      </c>
      <c r="Q51" s="334">
        <f t="shared" si="38"/>
        <v>42.398320328100588</v>
      </c>
      <c r="R51" s="333">
        <f t="shared" si="38"/>
        <v>52.357820092219001</v>
      </c>
      <c r="S51" s="333">
        <f t="shared" si="38"/>
        <v>129.58741260782088</v>
      </c>
      <c r="T51" s="333">
        <f t="shared" si="38"/>
        <v>178.28941497294119</v>
      </c>
      <c r="U51" s="399">
        <f t="shared" si="38"/>
        <v>199.11070676977675</v>
      </c>
      <c r="V51" s="399">
        <f t="shared" ref="V51:W51" si="39">(V6*1000000)/J55</f>
        <v>222.66721614216894</v>
      </c>
      <c r="W51" s="399" t="s">
        <v>92</v>
      </c>
    </row>
    <row r="52" spans="1:24" ht="15.5">
      <c r="A52" s="105" t="s">
        <v>28</v>
      </c>
      <c r="B52" s="105"/>
      <c r="C52" s="313"/>
      <c r="D52" s="295">
        <f t="shared" ref="D52" si="40">SUM(D50:D51)</f>
        <v>3.3699999999999761</v>
      </c>
      <c r="E52" s="295">
        <f t="shared" ref="E52:H52" si="41">SUM(E50:E51)</f>
        <v>165.50200000000001</v>
      </c>
      <c r="F52" s="295">
        <f t="shared" si="41"/>
        <v>8.4669999999999845</v>
      </c>
      <c r="G52" s="295">
        <f t="shared" si="41"/>
        <v>163.03100000000001</v>
      </c>
      <c r="H52" s="330">
        <f t="shared" si="41"/>
        <v>59.850000000000023</v>
      </c>
      <c r="I52" s="295">
        <f>SUM(I50:I51)</f>
        <v>371.93099999999998</v>
      </c>
      <c r="J52" s="295">
        <f>SUM(J50:J51)</f>
        <v>568.20899999999995</v>
      </c>
      <c r="K52" s="449"/>
      <c r="L52"/>
      <c r="M52" s="157" t="s">
        <v>55</v>
      </c>
      <c r="N52" s="335"/>
      <c r="O52" s="335"/>
      <c r="P52" s="335"/>
      <c r="Q52" s="336"/>
      <c r="R52" s="335"/>
      <c r="S52" s="335"/>
      <c r="T52" s="389">
        <v>13</v>
      </c>
      <c r="U52" s="400">
        <v>7.5</v>
      </c>
      <c r="V52" s="400">
        <v>7.5</v>
      </c>
      <c r="W52" s="400" t="s">
        <v>128</v>
      </c>
      <c r="X52" s="145"/>
    </row>
    <row r="53" spans="1:24" ht="15.5">
      <c r="A53" s="259"/>
      <c r="B53" s="260"/>
      <c r="C53" s="321"/>
      <c r="D53" s="308"/>
      <c r="E53" s="308"/>
      <c r="F53" s="308"/>
      <c r="G53" s="261"/>
      <c r="H53" s="260"/>
      <c r="I53" s="403"/>
      <c r="J53" s="403"/>
      <c r="K53" s="423"/>
      <c r="L53"/>
      <c r="M53" s="157" t="s">
        <v>56</v>
      </c>
      <c r="N53" s="333" t="e">
        <f t="shared" ref="N53:O53" si="42">(N49/N50)</f>
        <v>#REF!</v>
      </c>
      <c r="O53" s="333">
        <f t="shared" si="42"/>
        <v>0</v>
      </c>
      <c r="P53" s="333">
        <f>(P49/P50)</f>
        <v>0</v>
      </c>
      <c r="Q53" s="334">
        <f t="shared" ref="Q53:U53" si="43">(Q49/Q50)</f>
        <v>0</v>
      </c>
      <c r="R53" s="333">
        <f t="shared" si="43"/>
        <v>0</v>
      </c>
      <c r="S53" s="333">
        <f t="shared" si="43"/>
        <v>22.942077842476248</v>
      </c>
      <c r="T53" s="333">
        <f t="shared" si="43"/>
        <v>28.855225311601149</v>
      </c>
      <c r="U53" s="399">
        <f t="shared" si="43"/>
        <v>27.360071834780008</v>
      </c>
      <c r="V53" s="333">
        <f>(V49/V50)</f>
        <v>38.167202572347264</v>
      </c>
      <c r="W53" s="333">
        <f>(W49/W50)</f>
        <v>37.095032397408211</v>
      </c>
    </row>
    <row r="54" spans="1:24" ht="15.5">
      <c r="A54" s="262"/>
      <c r="B54" s="263"/>
      <c r="C54" s="322"/>
      <c r="D54" s="309"/>
      <c r="E54" s="309"/>
      <c r="F54" s="309"/>
      <c r="G54" s="264"/>
      <c r="H54" s="347"/>
      <c r="I54" s="138"/>
      <c r="J54" s="138"/>
      <c r="K54" s="347"/>
      <c r="L54"/>
      <c r="M54" s="157" t="s">
        <v>57</v>
      </c>
      <c r="N54" s="333" t="e">
        <f t="shared" ref="N54" si="44">(N49/N51)</f>
        <v>#DIV/0!</v>
      </c>
      <c r="O54" s="333" t="s">
        <v>128</v>
      </c>
      <c r="P54" s="333">
        <f t="shared" ref="P54:Q54" si="45">(P49/P51)</f>
        <v>0</v>
      </c>
      <c r="Q54" s="334">
        <f t="shared" si="45"/>
        <v>0</v>
      </c>
      <c r="R54" s="333">
        <f>(R49/R51)</f>
        <v>0</v>
      </c>
      <c r="S54" s="333">
        <f>(S49/S51)</f>
        <v>5.7767956388290473</v>
      </c>
      <c r="T54" s="333">
        <f>(T49/T51)</f>
        <v>8.4402094214532148</v>
      </c>
      <c r="U54" s="399">
        <f>(U49/U51)</f>
        <v>4.5909133407724525</v>
      </c>
      <c r="V54" s="333">
        <f>(V49/V51)</f>
        <v>5.3308251684528276</v>
      </c>
      <c r="W54" s="399" t="s">
        <v>92</v>
      </c>
    </row>
    <row r="55" spans="1:24" ht="15.5">
      <c r="A55" s="102" t="s">
        <v>74</v>
      </c>
      <c r="B55" s="102"/>
      <c r="C55" s="287"/>
      <c r="D55" s="138">
        <v>24202822</v>
      </c>
      <c r="E55" s="138">
        <v>24202822</v>
      </c>
      <c r="F55" s="138">
        <v>24202822</v>
      </c>
      <c r="G55" s="138">
        <v>13020902</v>
      </c>
      <c r="H55" s="402">
        <v>13020902</v>
      </c>
      <c r="I55" s="138">
        <v>13020902</v>
      </c>
      <c r="J55" s="289">
        <v>13020902</v>
      </c>
      <c r="K55" s="137">
        <v>13020902</v>
      </c>
      <c r="L55"/>
      <c r="M55" s="157" t="s">
        <v>58</v>
      </c>
      <c r="N55" s="333">
        <f t="shared" ref="N55:U55" si="46">B59/B16</f>
        <v>0</v>
      </c>
      <c r="O55" s="333">
        <f t="shared" si="46"/>
        <v>0</v>
      </c>
      <c r="P55" s="333">
        <f t="shared" si="46"/>
        <v>1.6180738708265825</v>
      </c>
      <c r="Q55" s="334">
        <f t="shared" si="46"/>
        <v>1.3481454563611499</v>
      </c>
      <c r="R55" s="333">
        <f t="shared" si="46"/>
        <v>1.2507479164814532</v>
      </c>
      <c r="S55" s="333">
        <f t="shared" si="46"/>
        <v>14.892342515894354</v>
      </c>
      <c r="T55" s="333">
        <f t="shared" si="46"/>
        <v>19.274939282880709</v>
      </c>
      <c r="U55" s="399">
        <f t="shared" si="46"/>
        <v>17.14809607236722</v>
      </c>
      <c r="V55" s="333">
        <f t="shared" ref="V55:W55" si="47">J59/J16</f>
        <v>23.183236847527141</v>
      </c>
      <c r="W55" s="451" t="s">
        <v>92</v>
      </c>
    </row>
    <row r="56" spans="1:24" ht="15.5">
      <c r="A56" s="102" t="s">
        <v>75</v>
      </c>
      <c r="B56" s="102"/>
      <c r="C56" s="287"/>
      <c r="D56" s="310">
        <f t="shared" ref="D56:I56" si="48">D55*P49/1000000</f>
        <v>0</v>
      </c>
      <c r="E56" s="310">
        <f t="shared" si="48"/>
        <v>0</v>
      </c>
      <c r="F56" s="310">
        <f t="shared" si="48"/>
        <v>0</v>
      </c>
      <c r="G56" s="310">
        <f t="shared" si="48"/>
        <v>9747.4472372</v>
      </c>
      <c r="H56" s="414">
        <f t="shared" si="48"/>
        <v>19593.853329599999</v>
      </c>
      <c r="I56" s="310">
        <f t="shared" si="48"/>
        <v>11902.406518200001</v>
      </c>
      <c r="J56" s="310">
        <f t="shared" ref="J56:K56" si="49">J55*V49/1000000</f>
        <v>15455.810674</v>
      </c>
      <c r="K56" s="310">
        <f>K55*W49/1000000</f>
        <v>17890.719347999999</v>
      </c>
      <c r="L56"/>
      <c r="M56" s="161" t="s">
        <v>59</v>
      </c>
      <c r="N56" s="160">
        <f t="shared" ref="N56:U56" si="50">(B27/N6)</f>
        <v>0.16756382469136977</v>
      </c>
      <c r="O56" s="160">
        <f t="shared" si="50"/>
        <v>0.12587195891301828</v>
      </c>
      <c r="P56" s="160">
        <f t="shared" si="50"/>
        <v>0.22209054956731222</v>
      </c>
      <c r="Q56" s="160">
        <f t="shared" si="50"/>
        <v>0.20969070095375078</v>
      </c>
      <c r="R56" s="160">
        <f t="shared" si="50"/>
        <v>0.27386291268908719</v>
      </c>
      <c r="S56" s="160">
        <f t="shared" si="50"/>
        <v>0.25178431204051327</v>
      </c>
      <c r="T56" s="160">
        <f t="shared" si="50"/>
        <v>0.29250192441144396</v>
      </c>
      <c r="U56" s="160">
        <f t="shared" si="50"/>
        <v>0.1677905701648652</v>
      </c>
      <c r="V56" s="160">
        <f t="shared" ref="V56:W56" si="51">(J27/V6)</f>
        <v>0.13968857611143021</v>
      </c>
      <c r="W56" s="452" t="s">
        <v>92</v>
      </c>
    </row>
    <row r="57" spans="1:24" ht="15.5">
      <c r="A57" s="155" t="s">
        <v>78</v>
      </c>
      <c r="B57" s="155"/>
      <c r="C57" s="323"/>
      <c r="D57" s="310">
        <f t="shared" ref="D57:I57" si="52">P10</f>
        <v>551.25300000000004</v>
      </c>
      <c r="E57" s="310">
        <f t="shared" si="52"/>
        <v>487.81399999999996</v>
      </c>
      <c r="F57" s="310">
        <f t="shared" si="52"/>
        <v>607.053</v>
      </c>
      <c r="G57" s="310">
        <f t="shared" si="52"/>
        <v>482.15199999999999</v>
      </c>
      <c r="H57" s="414">
        <f t="shared" si="52"/>
        <v>620.29999999999995</v>
      </c>
      <c r="I57" s="310">
        <f t="shared" si="52"/>
        <v>501.67599999999999</v>
      </c>
      <c r="J57" s="310">
        <f t="shared" ref="J57:K57" si="53">V10</f>
        <v>73.177000000000007</v>
      </c>
      <c r="K57" s="310">
        <f t="shared" si="53"/>
        <v>0</v>
      </c>
      <c r="L57"/>
      <c r="M57" s="161" t="s">
        <v>60</v>
      </c>
      <c r="N57" s="160">
        <f>(B16-B20+B5)/N11</f>
        <v>0.24720760270987205</v>
      </c>
      <c r="O57" s="160">
        <f>(C16-C20+C5)/O11</f>
        <v>0.19323718322786637</v>
      </c>
      <c r="P57" s="160">
        <f t="shared" ref="P57:W57" si="54">(D16-D20)/P11</f>
        <v>0.25167868017339895</v>
      </c>
      <c r="Q57" s="160">
        <f t="shared" si="54"/>
        <v>0.24688105285491049</v>
      </c>
      <c r="R57" s="160">
        <f t="shared" si="54"/>
        <v>0.27215343405341652</v>
      </c>
      <c r="S57" s="160">
        <f t="shared" si="54"/>
        <v>0.29878309887345705</v>
      </c>
      <c r="T57" s="160">
        <f t="shared" si="54"/>
        <v>0.38074138079475173</v>
      </c>
      <c r="U57" s="160">
        <f t="shared" si="54"/>
        <v>0.23284294696208357</v>
      </c>
      <c r="V57" s="160">
        <f t="shared" si="54"/>
        <v>0.18719378985881996</v>
      </c>
      <c r="W57" s="452" t="s">
        <v>92</v>
      </c>
    </row>
    <row r="58" spans="1:24" ht="15.5">
      <c r="A58" s="155" t="s">
        <v>76</v>
      </c>
      <c r="B58" s="155"/>
      <c r="C58" s="323"/>
      <c r="D58" s="310">
        <f t="shared" ref="D58:I58" si="55">P26</f>
        <v>4.0009999999999994</v>
      </c>
      <c r="E58" s="310">
        <f t="shared" si="55"/>
        <v>1.8169999999999999</v>
      </c>
      <c r="F58" s="310">
        <f t="shared" si="55"/>
        <v>2.0949999999999998</v>
      </c>
      <c r="G58" s="310">
        <f t="shared" si="55"/>
        <v>2.7</v>
      </c>
      <c r="H58" s="414">
        <f t="shared" si="55"/>
        <v>1.681</v>
      </c>
      <c r="I58" s="310">
        <f t="shared" si="55"/>
        <v>0.67600000000000005</v>
      </c>
      <c r="J58" s="310">
        <f t="shared" ref="J58:K58" si="56">V26</f>
        <v>0.90200000000000002</v>
      </c>
      <c r="K58" s="310">
        <f t="shared" si="56"/>
        <v>0</v>
      </c>
      <c r="L58"/>
      <c r="M58" s="157" t="s">
        <v>61</v>
      </c>
      <c r="N58" s="337">
        <f t="shared" ref="N58:U58" si="57">(N10/N6)</f>
        <v>0.45087763396901132</v>
      </c>
      <c r="O58" s="349">
        <f t="shared" si="57"/>
        <v>0.69878023022494451</v>
      </c>
      <c r="P58" s="349">
        <f t="shared" si="57"/>
        <v>0.63117344380096596</v>
      </c>
      <c r="Q58" s="350">
        <f t="shared" si="57"/>
        <v>0.47537857193670757</v>
      </c>
      <c r="R58" s="349">
        <f t="shared" si="57"/>
        <v>0.47904801662238289</v>
      </c>
      <c r="S58" s="349">
        <f t="shared" si="57"/>
        <v>0.28574594999837022</v>
      </c>
      <c r="T58" s="349">
        <f t="shared" si="57"/>
        <v>0.26719919844548046</v>
      </c>
      <c r="U58" s="400">
        <f t="shared" si="57"/>
        <v>0.19350297249750351</v>
      </c>
      <c r="V58" s="400">
        <f>(V10/V6)</f>
        <v>2.5239296830162027E-2</v>
      </c>
      <c r="W58" s="452" t="s">
        <v>92</v>
      </c>
    </row>
    <row r="59" spans="1:24" ht="15.5">
      <c r="A59" s="102" t="s">
        <v>77</v>
      </c>
      <c r="B59" s="102"/>
      <c r="C59" s="287"/>
      <c r="D59" s="291">
        <f t="shared" ref="D59:E59" si="58">D56+D57-D58</f>
        <v>547.25200000000007</v>
      </c>
      <c r="E59" s="291">
        <f t="shared" si="58"/>
        <v>485.99699999999996</v>
      </c>
      <c r="F59" s="291">
        <f>F56+F57-F58</f>
        <v>604.95799999999997</v>
      </c>
      <c r="G59" s="291">
        <f>G56+G57-G58</f>
        <v>10226.899237199999</v>
      </c>
      <c r="H59" s="327">
        <f t="shared" ref="H59:I59" si="59">H56+H57-H58</f>
        <v>20212.472329599997</v>
      </c>
      <c r="I59" s="291">
        <f t="shared" si="59"/>
        <v>12403.406518200001</v>
      </c>
      <c r="J59" s="291">
        <f>J56+J57-J58</f>
        <v>15528.085674</v>
      </c>
      <c r="K59" s="291">
        <f>K56+K57-K58</f>
        <v>17890.719347999999</v>
      </c>
      <c r="L59"/>
      <c r="M59" s="157" t="s">
        <v>62</v>
      </c>
      <c r="N59" s="337">
        <f t="shared" ref="N59:U59" si="60">(N10-N26)/N6</f>
        <v>0.44848732043006673</v>
      </c>
      <c r="O59" s="349">
        <f t="shared" si="60"/>
        <v>0.69220892552428703</v>
      </c>
      <c r="P59" s="349">
        <f t="shared" si="60"/>
        <v>0.62659238038970544</v>
      </c>
      <c r="Q59" s="350">
        <f t="shared" si="60"/>
        <v>0.47360789117475938</v>
      </c>
      <c r="R59" s="349">
        <f t="shared" si="60"/>
        <v>0.47739477449224943</v>
      </c>
      <c r="S59" s="349">
        <f t="shared" si="60"/>
        <v>0.28414580302190717</v>
      </c>
      <c r="T59" s="349">
        <f t="shared" si="60"/>
        <v>0.26647509421754739</v>
      </c>
      <c r="U59" s="400">
        <f t="shared" si="60"/>
        <v>0.19324223048590974</v>
      </c>
      <c r="V59" s="400">
        <f>(V10-V26)/V6</f>
        <v>2.492819025650082E-2</v>
      </c>
      <c r="W59" s="452" t="s">
        <v>92</v>
      </c>
    </row>
    <row r="60" spans="1:24" ht="15.5">
      <c r="L60"/>
      <c r="M60" s="157" t="s">
        <v>63</v>
      </c>
      <c r="N60" s="338" t="e">
        <f t="shared" ref="N60" si="61">(N52/N49)</f>
        <v>#DIV/0!</v>
      </c>
      <c r="O60" s="338" t="s">
        <v>128</v>
      </c>
      <c r="P60" s="338" t="s">
        <v>128</v>
      </c>
      <c r="Q60" s="339" t="s">
        <v>128</v>
      </c>
      <c r="R60" s="338" t="s">
        <v>128</v>
      </c>
      <c r="S60" s="338">
        <f t="shared" ref="S60:U60" si="62">(S52/S49)</f>
        <v>0</v>
      </c>
      <c r="T60" s="405">
        <f t="shared" si="62"/>
        <v>8.6390217969165347E-3</v>
      </c>
      <c r="U60" s="404">
        <f t="shared" si="62"/>
        <v>8.2047915982934039E-3</v>
      </c>
      <c r="V60" s="420">
        <f t="shared" ref="V60:W60" si="63">(V52/V49)</f>
        <v>6.3184498736310029E-3</v>
      </c>
      <c r="W60" s="453" t="s">
        <v>92</v>
      </c>
    </row>
    <row r="61" spans="1:24" ht="15.5">
      <c r="L61"/>
      <c r="M61" s="157" t="s">
        <v>64</v>
      </c>
      <c r="N61" s="337">
        <f>(AVERAGE(N25)/B6*365)</f>
        <v>37.535199832850786</v>
      </c>
      <c r="O61" s="349">
        <f>(AVERAGE(O25)/C6*365)</f>
        <v>45.435718799128018</v>
      </c>
      <c r="P61" s="349">
        <f>(AVERAGE(P25)/D6*365)</f>
        <v>47.607487053089251</v>
      </c>
      <c r="Q61" s="349">
        <f t="shared" ref="Q61:W61" si="64">(AVERAGE(P25,Q25)/E4*365)</f>
        <v>46.859246114693633</v>
      </c>
      <c r="R61" s="349">
        <f t="shared" si="64"/>
        <v>41.6874004462098</v>
      </c>
      <c r="S61" s="349">
        <f t="shared" si="64"/>
        <v>38.953963039004016</v>
      </c>
      <c r="T61" s="349">
        <f t="shared" si="64"/>
        <v>30.925033777323094</v>
      </c>
      <c r="U61" s="349">
        <f t="shared" si="64"/>
        <v>35.146093379894175</v>
      </c>
      <c r="V61" s="349">
        <f t="shared" si="64"/>
        <v>35.060368309077511</v>
      </c>
      <c r="W61" s="452" t="s">
        <v>92</v>
      </c>
    </row>
    <row r="62" spans="1:24" ht="15.5">
      <c r="L62"/>
      <c r="M62" s="157" t="s">
        <v>65</v>
      </c>
      <c r="N62" s="337">
        <f>AVERAGE(M32:N32)/(B10)*365</f>
        <v>10.257134446905745</v>
      </c>
      <c r="O62" s="349">
        <f>AVERAGE(N32:O32)/(C10)*365</f>
        <v>12.960370836557695</v>
      </c>
      <c r="P62" s="349">
        <f>AVERAGE(O32:P32)/(D10)*365</f>
        <v>15.456256613739932</v>
      </c>
      <c r="Q62" s="349">
        <f>AVERAGE(P32:Q32)/(E10)*365</f>
        <v>18.268510948728732</v>
      </c>
      <c r="R62" s="349">
        <f>AVERAGE(Q32:R32)/(F10)*365</f>
        <v>13.631861402190442</v>
      </c>
      <c r="S62" s="349">
        <f>AVERAGE(R32,S32)/(G10)*365</f>
        <v>11.388039436366093</v>
      </c>
      <c r="T62" s="349">
        <f>AVERAGE(S32,T32)/(H10)*365</f>
        <v>7.7385639687238541</v>
      </c>
      <c r="U62" s="349">
        <f>AVERAGE(T32,U32)/(I10)*365</f>
        <v>7.1430761988632439</v>
      </c>
      <c r="V62" s="349">
        <f>AVERAGE(U32,V32)/(J10+J11+J13)*365</f>
        <v>8.6038217170199243</v>
      </c>
      <c r="W62" s="452" t="s">
        <v>92</v>
      </c>
    </row>
    <row r="63" spans="1:24" ht="15.5">
      <c r="L63" s="90"/>
      <c r="M63" s="157" t="s">
        <v>66</v>
      </c>
      <c r="N63" s="340">
        <f>(AVERAGE(M24:N24)/(B10+B13+B11)*365)</f>
        <v>49.2114265442899</v>
      </c>
      <c r="O63" s="351">
        <f>(AVERAGE(N24:O24)/(C10+C13+C11)*365)</f>
        <v>53.910349153572007</v>
      </c>
      <c r="P63" s="351">
        <f>(AVERAGE(O24:P24)/(D10+D13+D11)*365)</f>
        <v>61.636924422973166</v>
      </c>
      <c r="Q63" s="351">
        <f>(AVERAGE(P24:Q24)/(E10+E13+E11)*365)</f>
        <v>71.148104719188424</v>
      </c>
      <c r="R63" s="351">
        <f>(AVERAGE(Q24:R24)/(F10+F13+F11)*365)</f>
        <v>55.930906534623858</v>
      </c>
      <c r="S63" s="351">
        <f>(AVERAGE(R24,S24)/(G10+G13+G11)*365)</f>
        <v>51.007564345344747</v>
      </c>
      <c r="T63" s="351">
        <f>(AVERAGE(S24,T24)/(H10+H13+H11)*365)</f>
        <v>42.508223019809968</v>
      </c>
      <c r="U63" s="351">
        <f>(AVERAGE(T24,U24)/(I10+I13+I11)*365)</f>
        <v>51.886188228090802</v>
      </c>
      <c r="V63" s="351">
        <f>(AVERAGE(U24,V24)/(J10+J13+J11)*365)</f>
        <v>54.580465525152128</v>
      </c>
      <c r="W63" s="454" t="s">
        <v>92</v>
      </c>
    </row>
    <row r="64" spans="1:24" ht="15.5">
      <c r="L64"/>
      <c r="M64" s="157" t="s">
        <v>82</v>
      </c>
      <c r="N64" s="340">
        <f t="shared" ref="N64" si="65">(N63+N61-N62)</f>
        <v>76.489491930234948</v>
      </c>
      <c r="O64" s="351">
        <f t="shared" ref="O64" si="66">(O63+O61-O62)</f>
        <v>86.385697116142325</v>
      </c>
      <c r="P64" s="351">
        <f>(P63+P61-P62)</f>
        <v>93.7881548623225</v>
      </c>
      <c r="Q64" s="352">
        <f t="shared" ref="Q64:R64" si="67">(Q63+Q61-Q62)</f>
        <v>99.738839885153325</v>
      </c>
      <c r="R64" s="351">
        <f t="shared" si="67"/>
        <v>83.986445578643227</v>
      </c>
      <c r="S64" s="351">
        <f t="shared" ref="S64" si="68">(S63+S61-S62)</f>
        <v>78.57348794798267</v>
      </c>
      <c r="T64" s="349">
        <f>(AVERAGE(S28,T28)/H7*365)</f>
        <v>36.683862680322576</v>
      </c>
      <c r="U64" s="351">
        <f t="shared" ref="U64" si="69">(U63+U61-U62)</f>
        <v>79.889205409121729</v>
      </c>
      <c r="V64" s="351">
        <f>(V63+V61-V62)</f>
        <v>81.037012117209713</v>
      </c>
      <c r="W64" s="454" t="s">
        <v>92</v>
      </c>
    </row>
    <row r="65" spans="1:23" ht="15.5">
      <c r="A65" s="114"/>
      <c r="B65" s="114"/>
      <c r="C65" s="114"/>
      <c r="D65" s="104"/>
      <c r="E65" s="104"/>
      <c r="F65" s="104"/>
      <c r="G65" s="104"/>
      <c r="H65" s="104"/>
      <c r="I65" s="104"/>
      <c r="J65" s="104"/>
      <c r="K65" s="104"/>
      <c r="L65" s="104"/>
      <c r="M65" s="157" t="s">
        <v>67</v>
      </c>
      <c r="N65" s="341">
        <f>AVERAGE(N39)/B6*365</f>
        <v>5.7562427245321439</v>
      </c>
      <c r="O65" s="353">
        <f>AVERAGE(O39)/C6*365</f>
        <v>3.7284572031387064</v>
      </c>
      <c r="P65" s="353">
        <f>AVERAGE(P39)/D6*365</f>
        <v>9.4826102503367906</v>
      </c>
      <c r="Q65" s="353">
        <f t="shared" ref="Q65:W65" si="70">AVERAGE(P39:Q39)/E6*365</f>
        <v>8.7526920315864931</v>
      </c>
      <c r="R65" s="353">
        <f t="shared" si="70"/>
        <v>10.277156533193303</v>
      </c>
      <c r="S65" s="353">
        <f t="shared" si="70"/>
        <v>27.109820774314628</v>
      </c>
      <c r="T65" s="353">
        <f t="shared" si="70"/>
        <v>33.181000940105207</v>
      </c>
      <c r="U65" s="353">
        <f t="shared" si="70"/>
        <v>42.668263383425064</v>
      </c>
      <c r="V65" s="353">
        <f t="shared" si="70"/>
        <v>55.278514599510295</v>
      </c>
      <c r="W65" s="455" t="s">
        <v>92</v>
      </c>
    </row>
    <row r="66" spans="1:23" ht="15.5">
      <c r="A66" s="114"/>
      <c r="B66" s="114"/>
      <c r="C66" s="114"/>
      <c r="D66" s="104"/>
      <c r="E66" s="104"/>
      <c r="F66" s="104"/>
      <c r="G66" s="104"/>
      <c r="H66" s="104"/>
      <c r="I66" s="104"/>
      <c r="J66" s="104"/>
      <c r="K66" s="104"/>
      <c r="L66" s="104"/>
      <c r="M66" s="171" t="s">
        <v>88</v>
      </c>
      <c r="N66" s="342">
        <f t="shared" ref="N66:W66" si="71">B21/N10</f>
        <v>0.13747703398269309</v>
      </c>
      <c r="O66" s="354">
        <f t="shared" si="71"/>
        <v>9.3325750239125982E-2</v>
      </c>
      <c r="P66" s="354">
        <f t="shared" si="71"/>
        <v>0.10441122315887623</v>
      </c>
      <c r="Q66" s="355">
        <f t="shared" si="71"/>
        <v>0.1175632515671957</v>
      </c>
      <c r="R66" s="354">
        <f t="shared" si="71"/>
        <v>0.10837603965386879</v>
      </c>
      <c r="S66" s="354">
        <f t="shared" si="71"/>
        <v>0.1414553916607211</v>
      </c>
      <c r="T66" s="354">
        <f t="shared" si="71"/>
        <v>0.11052716427535064</v>
      </c>
      <c r="U66" s="354">
        <f t="shared" si="71"/>
        <v>0.12482957127707923</v>
      </c>
      <c r="V66" s="354">
        <f t="shared" si="71"/>
        <v>0.57932137146917739</v>
      </c>
      <c r="W66" s="455" t="s">
        <v>92</v>
      </c>
    </row>
    <row r="67" spans="1:23" ht="15.5">
      <c r="A67" s="114"/>
      <c r="B67" s="114"/>
      <c r="C67" s="114"/>
      <c r="D67" s="104"/>
      <c r="E67" s="104"/>
      <c r="F67" s="104"/>
      <c r="G67" s="104"/>
      <c r="H67" s="104"/>
      <c r="I67" s="104"/>
      <c r="J67" s="104"/>
      <c r="K67" s="104"/>
      <c r="L67" s="104"/>
      <c r="M67" s="102" t="s">
        <v>131</v>
      </c>
      <c r="N67" s="343">
        <f>B4/AVERAGE(M15:N15)</f>
        <v>2.2707644273469811</v>
      </c>
      <c r="O67" s="356">
        <f>C4/AVERAGE(N15:O15)</f>
        <v>2.4431376143601136</v>
      </c>
      <c r="P67" s="356">
        <f>D4/AVERAGE(O15:P15)</f>
        <v>2.4899344032852189</v>
      </c>
      <c r="Q67" s="356">
        <f>E4/AVERAGE(P15:Q15)</f>
        <v>2.305195874519637</v>
      </c>
      <c r="R67" s="356">
        <f>F4/AVERAGE(Q15:R15)</f>
        <v>2.5846381925142348</v>
      </c>
      <c r="S67" s="356">
        <f>G4/AVERAGE(R15,S15)</f>
        <v>3.2517162818519156</v>
      </c>
      <c r="T67" s="356">
        <f>H4/AVERAGE(S15,T15)</f>
        <v>4.979688188335051</v>
      </c>
      <c r="U67" s="356">
        <f>I4/AVERAGE(T15,U15)</f>
        <v>4.5036389950153843</v>
      </c>
      <c r="V67" s="356">
        <f>J4/AVERAGE(U15,V15)</f>
        <v>3.6746738472308942</v>
      </c>
      <c r="W67" s="451" t="s">
        <v>92</v>
      </c>
    </row>
    <row r="68" spans="1:23" ht="15.5">
      <c r="A68" s="114"/>
      <c r="B68" s="114"/>
      <c r="C68" s="114"/>
      <c r="E68" s="104"/>
      <c r="F68" s="254"/>
      <c r="G68" s="255"/>
      <c r="H68" s="255"/>
      <c r="I68" s="255"/>
      <c r="J68" s="255"/>
      <c r="K68" s="255"/>
      <c r="L68" s="254"/>
      <c r="M68"/>
      <c r="N68"/>
      <c r="P68" s="114"/>
      <c r="Q68" s="114"/>
      <c r="S68" s="114"/>
      <c r="T68" s="114"/>
      <c r="U68" s="114"/>
    </row>
    <row r="69" spans="1:23" ht="15.5">
      <c r="A69" s="114"/>
      <c r="B69" s="114"/>
      <c r="C69" s="114"/>
      <c r="D69" s="254"/>
      <c r="E69" s="104"/>
      <c r="F69" s="254"/>
      <c r="G69" s="255"/>
      <c r="H69" s="255"/>
      <c r="I69" s="255"/>
      <c r="J69" s="255"/>
      <c r="K69" s="255"/>
      <c r="L69" s="409" t="s">
        <v>232</v>
      </c>
      <c r="M69" s="16" t="s">
        <v>234</v>
      </c>
      <c r="N69" s="15"/>
      <c r="S69" s="114"/>
      <c r="T69" s="114"/>
      <c r="U69" s="114"/>
    </row>
    <row r="70" spans="1:23" ht="15.5">
      <c r="A70" s="114"/>
      <c r="B70" s="114"/>
      <c r="C70" s="114"/>
      <c r="D70" s="244"/>
      <c r="E70" s="104"/>
      <c r="F70" s="244"/>
      <c r="G70" s="244"/>
      <c r="H70" s="244"/>
      <c r="I70" s="244"/>
      <c r="J70" s="244"/>
      <c r="K70" s="244"/>
      <c r="L70" s="244"/>
      <c r="S70" s="114"/>
      <c r="T70" s="114"/>
      <c r="U70" s="114"/>
    </row>
    <row r="71" spans="1:23" ht="15.5">
      <c r="A71" s="114"/>
      <c r="B71" s="114"/>
      <c r="C71" s="114"/>
      <c r="D71" s="243"/>
      <c r="E71" s="104"/>
      <c r="F71" s="243"/>
      <c r="G71" s="243"/>
      <c r="H71" s="243"/>
      <c r="I71" s="243"/>
      <c r="J71" s="243"/>
      <c r="K71" s="243"/>
      <c r="L71" s="243"/>
      <c r="N71" s="10">
        <v>48.75</v>
      </c>
      <c r="R71" s="88"/>
      <c r="S71" s="114"/>
      <c r="T71" s="114"/>
      <c r="U71" s="114"/>
    </row>
    <row r="72" spans="1:23" ht="15.5">
      <c r="A72" s="114"/>
      <c r="B72" s="114"/>
      <c r="C72" s="114"/>
      <c r="D72" s="245"/>
      <c r="E72" s="104"/>
      <c r="F72" s="254"/>
      <c r="G72" s="254"/>
      <c r="H72" s="254"/>
      <c r="I72" s="254"/>
      <c r="J72" s="254"/>
      <c r="K72" s="254"/>
      <c r="L72" s="254"/>
      <c r="N72" s="10">
        <v>0.56999999999999995</v>
      </c>
      <c r="S72" s="114"/>
      <c r="T72" s="114"/>
      <c r="U72" s="114"/>
    </row>
    <row r="73" spans="1:23" ht="15.5">
      <c r="A73" s="114"/>
      <c r="B73" s="114"/>
      <c r="C73" s="114"/>
      <c r="D73" s="246"/>
      <c r="E73" s="104"/>
      <c r="F73" s="246"/>
      <c r="G73" s="246"/>
      <c r="H73" s="246"/>
      <c r="I73" s="246"/>
      <c r="J73" s="246"/>
      <c r="K73" s="246"/>
      <c r="L73" s="246"/>
      <c r="N73" s="10">
        <v>0.12</v>
      </c>
      <c r="S73" s="114"/>
      <c r="T73" s="114"/>
      <c r="U73" s="114"/>
    </row>
    <row r="74" spans="1:23" ht="15.5">
      <c r="A74" s="114"/>
      <c r="B74" s="114"/>
      <c r="C74" s="114"/>
      <c r="D74" s="104"/>
      <c r="E74" s="104"/>
      <c r="F74" s="104"/>
      <c r="G74" s="104"/>
      <c r="H74" s="104"/>
      <c r="I74" s="104"/>
      <c r="J74" s="104"/>
      <c r="K74" s="104"/>
      <c r="L74" s="104"/>
      <c r="S74" s="114"/>
      <c r="T74" s="114"/>
      <c r="U74" s="114"/>
    </row>
    <row r="75" spans="1:23" ht="15.5">
      <c r="A75" s="114"/>
      <c r="B75" s="114"/>
      <c r="C75" s="114"/>
      <c r="D75" s="104"/>
      <c r="E75" s="104"/>
      <c r="F75" s="104"/>
      <c r="G75" s="104"/>
      <c r="H75" s="104"/>
      <c r="I75" s="104"/>
      <c r="J75" s="104"/>
      <c r="K75" s="104"/>
      <c r="L75" s="104"/>
    </row>
    <row r="76" spans="1:23">
      <c r="G76" s="256"/>
      <c r="H76" s="256"/>
      <c r="I76" s="256"/>
      <c r="J76" s="256"/>
      <c r="K76" s="256"/>
      <c r="L76" s="256"/>
    </row>
    <row r="77" spans="1:23">
      <c r="N77" s="10">
        <v>1.5</v>
      </c>
    </row>
    <row r="78" spans="1:23">
      <c r="N78" s="10">
        <v>2.5</v>
      </c>
    </row>
    <row r="79" spans="1:23">
      <c r="N79" s="10">
        <v>1.5</v>
      </c>
    </row>
    <row r="80" spans="1:23">
      <c r="N80" s="10">
        <v>1</v>
      </c>
    </row>
  </sheetData>
  <mergeCells count="1">
    <mergeCell ref="A1:V1"/>
  </mergeCells>
  <phoneticPr fontId="39" type="noConversion"/>
  <printOptions horizontalCentered="1" verticalCentered="1"/>
  <pageMargins left="0" right="0" top="0" bottom="0" header="0" footer="0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workbookViewId="0">
      <selection activeCell="E43" sqref="E43"/>
    </sheetView>
  </sheetViews>
  <sheetFormatPr defaultColWidth="8.81640625" defaultRowHeight="14.5"/>
  <sheetData>
    <row r="1" spans="1:6" ht="15.5">
      <c r="A1" s="257" t="s">
        <v>97</v>
      </c>
      <c r="E1" t="s">
        <v>213</v>
      </c>
      <c r="F1" t="s">
        <v>215</v>
      </c>
    </row>
    <row r="2" spans="1:6" ht="15.5">
      <c r="A2" s="101" t="s">
        <v>0</v>
      </c>
    </row>
    <row r="3" spans="1:6" ht="15.5">
      <c r="A3" s="101" t="s">
        <v>169</v>
      </c>
      <c r="E3">
        <v>396</v>
      </c>
      <c r="F3">
        <v>307</v>
      </c>
    </row>
    <row r="4" spans="1:6" ht="15.5">
      <c r="A4" s="102" t="s">
        <v>6</v>
      </c>
      <c r="E4">
        <v>2.8</v>
      </c>
      <c r="F4">
        <v>2.4</v>
      </c>
    </row>
    <row r="5" spans="1:6" ht="15.5">
      <c r="A5" s="105" t="s">
        <v>95</v>
      </c>
      <c r="E5">
        <v>397</v>
      </c>
      <c r="F5">
        <v>307.3</v>
      </c>
    </row>
    <row r="6" spans="1:6" ht="15.5">
      <c r="A6" s="107" t="s">
        <v>2</v>
      </c>
      <c r="E6" s="385">
        <v>0.26</v>
      </c>
      <c r="F6" s="284"/>
    </row>
    <row r="7" spans="1:6" ht="15.5">
      <c r="A7" s="107" t="s">
        <v>214</v>
      </c>
      <c r="E7" s="385">
        <v>0.19</v>
      </c>
      <c r="F7" s="284"/>
    </row>
    <row r="8" spans="1:6" ht="15.5">
      <c r="A8" s="105" t="s">
        <v>3</v>
      </c>
      <c r="E8">
        <v>327</v>
      </c>
      <c r="F8">
        <v>242</v>
      </c>
    </row>
    <row r="9" spans="1:6" ht="15.5">
      <c r="A9" s="102" t="s">
        <v>111</v>
      </c>
      <c r="E9">
        <v>277</v>
      </c>
      <c r="F9">
        <v>201</v>
      </c>
    </row>
    <row r="10" spans="1:6" ht="186">
      <c r="A10" s="149" t="s">
        <v>114</v>
      </c>
      <c r="E10">
        <v>-10.8</v>
      </c>
      <c r="F10">
        <v>3.8</v>
      </c>
    </row>
    <row r="11" spans="1:6" ht="31">
      <c r="A11" s="149" t="s">
        <v>174</v>
      </c>
    </row>
    <row r="12" spans="1:6" ht="77.5">
      <c r="A12" s="149" t="s">
        <v>173</v>
      </c>
    </row>
    <row r="13" spans="1:6" ht="15.5">
      <c r="A13" s="102" t="s">
        <v>115</v>
      </c>
      <c r="E13">
        <v>16</v>
      </c>
      <c r="F13">
        <v>8</v>
      </c>
    </row>
    <row r="14" spans="1:6" ht="15.5">
      <c r="A14" s="102" t="s">
        <v>70</v>
      </c>
      <c r="E14">
        <v>24</v>
      </c>
      <c r="F14">
        <v>13</v>
      </c>
    </row>
    <row r="15" spans="1:6" ht="15.5">
      <c r="A15" s="105" t="s">
        <v>171</v>
      </c>
      <c r="E15">
        <v>68.599999999999994</v>
      </c>
      <c r="F15">
        <v>64.8</v>
      </c>
    </row>
    <row r="16" spans="1:6" ht="15.5">
      <c r="A16" s="107" t="s">
        <v>2</v>
      </c>
      <c r="E16" s="385">
        <v>0.42</v>
      </c>
      <c r="F16" s="385"/>
    </row>
    <row r="17" spans="1:6" ht="15.5">
      <c r="A17" s="107" t="s">
        <v>214</v>
      </c>
      <c r="E17" s="385">
        <v>0.25</v>
      </c>
      <c r="F17" s="385">
        <v>0.13</v>
      </c>
    </row>
    <row r="18" spans="1:6" ht="15.5">
      <c r="A18" s="105" t="s">
        <v>172</v>
      </c>
      <c r="E18" s="284">
        <v>0.17319999999999999</v>
      </c>
      <c r="F18" s="284">
        <v>0.21110000000000001</v>
      </c>
    </row>
    <row r="19" spans="1:6" ht="15.5">
      <c r="A19" s="102" t="s">
        <v>7</v>
      </c>
      <c r="E19">
        <v>6</v>
      </c>
      <c r="F19">
        <v>6</v>
      </c>
    </row>
    <row r="20" spans="1:6" ht="15.5">
      <c r="A20" s="102" t="s">
        <v>116</v>
      </c>
      <c r="E20">
        <v>6</v>
      </c>
      <c r="F20">
        <v>6</v>
      </c>
    </row>
    <row r="21" spans="1:6" ht="15.5">
      <c r="A21" s="102" t="s">
        <v>117</v>
      </c>
    </row>
    <row r="22" spans="1:6" ht="15.5">
      <c r="A22" s="102" t="s">
        <v>167</v>
      </c>
    </row>
    <row r="23" spans="1:6" ht="15.5">
      <c r="A23" s="105" t="s">
        <v>8</v>
      </c>
      <c r="E23">
        <v>555</v>
      </c>
      <c r="F23">
        <v>579</v>
      </c>
    </row>
    <row r="24" spans="1:6" ht="15.5">
      <c r="A24" s="102" t="s">
        <v>9</v>
      </c>
      <c r="E24">
        <v>13</v>
      </c>
      <c r="F24">
        <v>14</v>
      </c>
    </row>
    <row r="25" spans="1:6" ht="15.5">
      <c r="A25" s="107" t="s">
        <v>10</v>
      </c>
      <c r="E25">
        <v>24</v>
      </c>
      <c r="F25" s="385">
        <v>0.25</v>
      </c>
    </row>
    <row r="26" spans="1:6" ht="15.5">
      <c r="A26" s="105" t="s">
        <v>11</v>
      </c>
      <c r="E26">
        <f>E23-E24</f>
        <v>542</v>
      </c>
      <c r="F26">
        <f>F23-F24</f>
        <v>565</v>
      </c>
    </row>
    <row r="27" spans="1:6" ht="15.5">
      <c r="A27" s="102" t="s">
        <v>12</v>
      </c>
    </row>
    <row r="28" spans="1:6" ht="15.5">
      <c r="A28" s="102" t="s">
        <v>71</v>
      </c>
    </row>
    <row r="29" spans="1:6" ht="15.5">
      <c r="A29" s="105" t="s">
        <v>13</v>
      </c>
      <c r="E29">
        <v>54</v>
      </c>
      <c r="F29">
        <v>56</v>
      </c>
    </row>
    <row r="30" spans="1:6" ht="15.5">
      <c r="A30" s="105" t="s">
        <v>81</v>
      </c>
      <c r="E30" s="385">
        <v>0.11</v>
      </c>
      <c r="F30" s="385">
        <v>0.14000000000000001</v>
      </c>
    </row>
    <row r="31" spans="1:6" ht="15.5">
      <c r="A31" s="107" t="s">
        <v>2</v>
      </c>
      <c r="E31" s="385">
        <v>0.21</v>
      </c>
    </row>
    <row r="32" spans="1:6" ht="15.5">
      <c r="A32" s="107" t="s">
        <v>123</v>
      </c>
      <c r="E32" s="385">
        <v>0.11</v>
      </c>
    </row>
    <row r="33" spans="1:6" ht="15.5">
      <c r="A33" s="101" t="s">
        <v>14</v>
      </c>
      <c r="E33" s="385">
        <v>0.32</v>
      </c>
      <c r="F33">
        <v>33</v>
      </c>
    </row>
    <row r="34" spans="1:6" ht="15.5">
      <c r="A34" s="122" t="s">
        <v>2</v>
      </c>
      <c r="E34" s="385">
        <v>0.22</v>
      </c>
    </row>
    <row r="35" spans="1:6" ht="15.5">
      <c r="A35" s="12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32"/>
  <sheetViews>
    <sheetView zoomScaleNormal="150" zoomScaleSheetLayoutView="100" workbookViewId="0">
      <selection activeCell="R7" sqref="R7"/>
    </sheetView>
  </sheetViews>
  <sheetFormatPr defaultColWidth="8.81640625" defaultRowHeight="14.5"/>
  <cols>
    <col min="1" max="1" width="27.453125" bestFit="1" customWidth="1"/>
    <col min="10" max="10" width="34.453125" bestFit="1" customWidth="1"/>
    <col min="15" max="15" width="34.453125" bestFit="1" customWidth="1"/>
    <col min="18" max="18" width="34.453125" bestFit="1" customWidth="1"/>
  </cols>
  <sheetData>
    <row r="6" spans="1:19">
      <c r="A6" s="268" t="s">
        <v>180</v>
      </c>
      <c r="B6" s="269" t="s">
        <v>181</v>
      </c>
      <c r="C6" s="269">
        <v>6.62</v>
      </c>
      <c r="D6" s="269">
        <v>6.62</v>
      </c>
      <c r="E6" s="270" t="s">
        <v>182</v>
      </c>
      <c r="F6" s="271" t="s">
        <v>182</v>
      </c>
    </row>
    <row r="7" spans="1:19">
      <c r="A7" s="272"/>
      <c r="B7" s="273"/>
      <c r="C7" s="273"/>
      <c r="D7" s="273"/>
      <c r="E7" s="274"/>
      <c r="F7" s="275"/>
      <c r="J7" s="279" t="s">
        <v>193</v>
      </c>
      <c r="K7" s="280">
        <v>0.48749999999999999</v>
      </c>
    </row>
    <row r="8" spans="1:19">
      <c r="A8" s="268" t="s">
        <v>184</v>
      </c>
      <c r="B8" s="269" t="s">
        <v>181</v>
      </c>
      <c r="C8" s="269">
        <v>4.59</v>
      </c>
      <c r="D8" s="269">
        <v>4.59</v>
      </c>
      <c r="E8" s="270" t="s">
        <v>182</v>
      </c>
      <c r="F8" s="271" t="s">
        <v>182</v>
      </c>
      <c r="J8" s="279" t="s">
        <v>180</v>
      </c>
      <c r="K8" s="280">
        <v>6.6199999999999995E-2</v>
      </c>
    </row>
    <row r="9" spans="1:19">
      <c r="A9" s="272" t="s">
        <v>185</v>
      </c>
      <c r="B9" s="273" t="s">
        <v>181</v>
      </c>
      <c r="C9" s="273">
        <v>1.85</v>
      </c>
      <c r="D9" s="273">
        <v>1.85</v>
      </c>
      <c r="E9" s="274" t="s">
        <v>182</v>
      </c>
      <c r="F9" s="275" t="s">
        <v>182</v>
      </c>
      <c r="J9" s="279" t="s">
        <v>184</v>
      </c>
      <c r="K9" s="280">
        <v>4.5900000000000003E-2</v>
      </c>
      <c r="O9" s="279" t="s">
        <v>201</v>
      </c>
      <c r="P9" s="280">
        <v>0.48749999999999999</v>
      </c>
      <c r="R9" s="279" t="s">
        <v>193</v>
      </c>
      <c r="S9" s="280">
        <v>0.48749999999999999</v>
      </c>
    </row>
    <row r="10" spans="1:19">
      <c r="A10" s="268"/>
      <c r="B10" s="269"/>
      <c r="C10" s="269"/>
      <c r="D10" s="269"/>
      <c r="E10" s="270"/>
      <c r="F10" s="271"/>
      <c r="J10" s="279" t="s">
        <v>185</v>
      </c>
      <c r="K10" s="280">
        <v>1.8499999999999999E-2</v>
      </c>
      <c r="O10" s="279" t="s">
        <v>180</v>
      </c>
      <c r="P10" s="280">
        <v>6.6199999999999995E-2</v>
      </c>
      <c r="R10" s="279" t="s">
        <v>180</v>
      </c>
      <c r="S10" s="280">
        <v>6.6199999999999995E-2</v>
      </c>
    </row>
    <row r="11" spans="1:19">
      <c r="A11" s="272" t="s">
        <v>186</v>
      </c>
      <c r="B11" s="273" t="s">
        <v>183</v>
      </c>
      <c r="C11" s="273">
        <v>1.64</v>
      </c>
      <c r="D11" s="273">
        <v>1.73</v>
      </c>
      <c r="E11" s="274" t="s">
        <v>182</v>
      </c>
      <c r="F11" s="275" t="s">
        <v>182</v>
      </c>
      <c r="J11" s="279"/>
      <c r="K11" s="280"/>
      <c r="O11" s="279" t="s">
        <v>202</v>
      </c>
      <c r="P11" s="280">
        <v>4.5900000000000003E-2</v>
      </c>
      <c r="R11" s="279" t="s">
        <v>184</v>
      </c>
      <c r="S11" s="280">
        <v>4.5900000000000003E-2</v>
      </c>
    </row>
    <row r="12" spans="1:19">
      <c r="A12" s="268" t="s">
        <v>187</v>
      </c>
      <c r="B12" s="269" t="s">
        <v>181</v>
      </c>
      <c r="C12" s="269">
        <v>1.22</v>
      </c>
      <c r="D12" s="269">
        <v>1.22</v>
      </c>
      <c r="E12" s="270" t="s">
        <v>182</v>
      </c>
      <c r="F12" s="271" t="s">
        <v>182</v>
      </c>
      <c r="J12" s="279" t="s">
        <v>187</v>
      </c>
      <c r="K12" s="280">
        <v>1.2200000000000001E-2</v>
      </c>
      <c r="O12" s="279" t="s">
        <v>185</v>
      </c>
      <c r="P12" s="280">
        <v>1.8499999999999999E-2</v>
      </c>
      <c r="R12" s="279" t="s">
        <v>185</v>
      </c>
      <c r="S12" s="280">
        <v>1.8499999999999999E-2</v>
      </c>
    </row>
    <row r="13" spans="1:19">
      <c r="A13" s="272" t="s">
        <v>188</v>
      </c>
      <c r="B13" s="273" t="s">
        <v>181</v>
      </c>
      <c r="C13" s="273">
        <v>1.1599999999999999</v>
      </c>
      <c r="D13" s="273">
        <v>1.1599999999999999</v>
      </c>
      <c r="E13" s="274" t="s">
        <v>182</v>
      </c>
      <c r="F13" s="275" t="s">
        <v>182</v>
      </c>
      <c r="J13" s="279" t="s">
        <v>188</v>
      </c>
      <c r="K13" s="280">
        <v>1.1599999999999999E-2</v>
      </c>
      <c r="O13" s="279" t="s">
        <v>203</v>
      </c>
      <c r="P13" s="280">
        <v>1.7000000000000001E-2</v>
      </c>
      <c r="R13" s="279" t="s">
        <v>209</v>
      </c>
      <c r="S13" s="280">
        <v>1.7000000000000001E-2</v>
      </c>
    </row>
    <row r="14" spans="1:19">
      <c r="A14" s="268" t="s">
        <v>189</v>
      </c>
      <c r="B14" s="269" t="s">
        <v>181</v>
      </c>
      <c r="C14" s="269">
        <v>1.1399999999999999</v>
      </c>
      <c r="D14" s="269">
        <v>1.1399999999999999</v>
      </c>
      <c r="E14" s="270" t="s">
        <v>182</v>
      </c>
      <c r="F14" s="271" t="s">
        <v>182</v>
      </c>
      <c r="J14" s="279" t="s">
        <v>189</v>
      </c>
      <c r="K14" s="280">
        <v>1.14E-2</v>
      </c>
      <c r="O14" s="279" t="s">
        <v>187</v>
      </c>
      <c r="P14" s="280">
        <v>1.2200000000000001E-2</v>
      </c>
      <c r="R14" s="279" t="s">
        <v>187</v>
      </c>
      <c r="S14" s="280">
        <v>1.2200000000000001E-2</v>
      </c>
    </row>
    <row r="15" spans="1:19">
      <c r="A15" s="272" t="s">
        <v>190</v>
      </c>
      <c r="B15" s="273" t="s">
        <v>181</v>
      </c>
      <c r="C15" s="273">
        <v>1</v>
      </c>
      <c r="D15" s="273">
        <v>1</v>
      </c>
      <c r="E15" s="274" t="s">
        <v>182</v>
      </c>
      <c r="F15" s="275" t="s">
        <v>182</v>
      </c>
      <c r="J15" s="279" t="s">
        <v>190</v>
      </c>
      <c r="K15" s="281">
        <v>0.01</v>
      </c>
      <c r="O15" s="279" t="s">
        <v>188</v>
      </c>
      <c r="P15" s="280">
        <v>1.1599999999999999E-2</v>
      </c>
      <c r="R15" s="279" t="s">
        <v>188</v>
      </c>
      <c r="S15" s="280">
        <v>1.1599999999999999E-2</v>
      </c>
    </row>
    <row r="16" spans="1:19">
      <c r="A16" s="268" t="s">
        <v>191</v>
      </c>
      <c r="B16" s="269" t="s">
        <v>181</v>
      </c>
      <c r="C16" s="269">
        <v>1</v>
      </c>
      <c r="D16" s="269">
        <v>1</v>
      </c>
      <c r="E16" s="270" t="s">
        <v>182</v>
      </c>
      <c r="F16" s="271" t="s">
        <v>182</v>
      </c>
      <c r="J16" s="279" t="s">
        <v>192</v>
      </c>
      <c r="K16" s="281">
        <v>0.01</v>
      </c>
      <c r="O16" s="279" t="s">
        <v>189</v>
      </c>
      <c r="P16" s="280">
        <v>1.14E-2</v>
      </c>
      <c r="R16" s="279" t="s">
        <v>189</v>
      </c>
      <c r="S16" s="280">
        <v>1.14E-2</v>
      </c>
    </row>
    <row r="17" spans="1:19">
      <c r="A17" s="276" t="s">
        <v>192</v>
      </c>
      <c r="B17" s="277" t="s">
        <v>181</v>
      </c>
      <c r="C17" s="277">
        <v>1</v>
      </c>
      <c r="D17" s="277">
        <v>1</v>
      </c>
      <c r="E17" s="278"/>
      <c r="F17" s="278"/>
      <c r="J17" s="279" t="s">
        <v>191</v>
      </c>
      <c r="K17" s="281">
        <v>0.01</v>
      </c>
      <c r="O17" s="279" t="s">
        <v>190</v>
      </c>
      <c r="P17" s="281">
        <v>0.01</v>
      </c>
      <c r="R17" s="279" t="s">
        <v>190</v>
      </c>
      <c r="S17" s="281">
        <v>0.01</v>
      </c>
    </row>
    <row r="18" spans="1:19">
      <c r="J18" s="279"/>
      <c r="K18" s="280"/>
      <c r="O18" s="279" t="s">
        <v>192</v>
      </c>
      <c r="P18" s="281">
        <v>0.01</v>
      </c>
      <c r="R18" s="279" t="s">
        <v>192</v>
      </c>
      <c r="S18" s="281">
        <v>0.01</v>
      </c>
    </row>
    <row r="19" spans="1:19">
      <c r="J19" s="279"/>
      <c r="K19" s="280"/>
      <c r="O19" s="279" t="s">
        <v>191</v>
      </c>
      <c r="P19" s="281">
        <v>0.01</v>
      </c>
      <c r="R19" s="279" t="s">
        <v>191</v>
      </c>
      <c r="S19" s="281">
        <v>0.01</v>
      </c>
    </row>
    <row r="20" spans="1:19">
      <c r="C20">
        <f>SUM(C6:C17)</f>
        <v>21.220000000000002</v>
      </c>
      <c r="J20" s="279"/>
      <c r="K20" s="280"/>
      <c r="O20" s="279" t="s">
        <v>204</v>
      </c>
      <c r="P20" s="280">
        <v>8.6E-3</v>
      </c>
      <c r="R20" s="279" t="s">
        <v>210</v>
      </c>
      <c r="S20" s="280">
        <v>8.6E-3</v>
      </c>
    </row>
    <row r="21" spans="1:19">
      <c r="J21" s="279" t="s">
        <v>194</v>
      </c>
      <c r="K21" s="280">
        <v>4.7000000000000002E-3</v>
      </c>
      <c r="O21" s="279" t="s">
        <v>205</v>
      </c>
      <c r="P21" s="280">
        <v>5.3E-3</v>
      </c>
      <c r="R21" s="279" t="s">
        <v>205</v>
      </c>
      <c r="S21" s="280">
        <v>5.3E-3</v>
      </c>
    </row>
    <row r="22" spans="1:19">
      <c r="J22" s="279" t="s">
        <v>195</v>
      </c>
      <c r="K22" s="280">
        <v>4.4999999999999997E-3</v>
      </c>
      <c r="O22" s="279" t="s">
        <v>206</v>
      </c>
      <c r="P22" s="280">
        <v>4.8999999999999998E-3</v>
      </c>
      <c r="R22" s="279" t="s">
        <v>206</v>
      </c>
      <c r="S22" s="280">
        <v>4.8999999999999998E-3</v>
      </c>
    </row>
    <row r="23" spans="1:19">
      <c r="J23" s="279" t="s">
        <v>196</v>
      </c>
      <c r="K23" s="280">
        <v>4.1000000000000003E-3</v>
      </c>
      <c r="O23" s="279" t="s">
        <v>194</v>
      </c>
      <c r="P23" s="280">
        <v>4.7000000000000002E-3</v>
      </c>
      <c r="R23" s="279" t="s">
        <v>194</v>
      </c>
      <c r="S23" s="280">
        <v>4.7000000000000002E-3</v>
      </c>
    </row>
    <row r="24" spans="1:19">
      <c r="J24" s="279" t="s">
        <v>197</v>
      </c>
      <c r="K24" s="280">
        <v>3.8E-3</v>
      </c>
      <c r="O24" s="279" t="s">
        <v>195</v>
      </c>
      <c r="P24" s="280">
        <v>4.4999999999999997E-3</v>
      </c>
      <c r="R24" s="279" t="s">
        <v>195</v>
      </c>
      <c r="S24" s="280">
        <v>4.4999999999999997E-3</v>
      </c>
    </row>
    <row r="25" spans="1:19">
      <c r="J25" s="279" t="s">
        <v>198</v>
      </c>
      <c r="K25" s="280">
        <v>2E-3</v>
      </c>
      <c r="O25" s="279" t="s">
        <v>196</v>
      </c>
      <c r="P25" s="280">
        <v>4.1000000000000003E-3</v>
      </c>
      <c r="R25" s="279" t="s">
        <v>196</v>
      </c>
      <c r="S25" s="280">
        <v>4.1000000000000003E-3</v>
      </c>
    </row>
    <row r="26" spans="1:19" ht="28.5">
      <c r="J26" s="279" t="s">
        <v>199</v>
      </c>
      <c r="K26" s="280">
        <v>1.5E-3</v>
      </c>
      <c r="O26" s="279" t="s">
        <v>207</v>
      </c>
      <c r="P26" s="280">
        <v>3.8E-3</v>
      </c>
      <c r="R26" s="279" t="s">
        <v>197</v>
      </c>
      <c r="S26" s="280">
        <v>3.8E-3</v>
      </c>
    </row>
    <row r="27" spans="1:19">
      <c r="J27" s="279" t="s">
        <v>200</v>
      </c>
      <c r="K27" s="280">
        <v>5.9999999999999995E-4</v>
      </c>
      <c r="O27" s="279" t="s">
        <v>198</v>
      </c>
      <c r="P27" s="280">
        <v>2E-3</v>
      </c>
      <c r="R27" s="279" t="s">
        <v>198</v>
      </c>
      <c r="S27" s="280">
        <v>2E-3</v>
      </c>
    </row>
    <row r="28" spans="1:19" ht="28.5">
      <c r="J28" s="279"/>
      <c r="K28" s="280"/>
      <c r="O28" s="279" t="s">
        <v>199</v>
      </c>
      <c r="P28" s="280">
        <v>1.5E-3</v>
      </c>
      <c r="R28" s="279" t="s">
        <v>199</v>
      </c>
      <c r="S28" s="280">
        <v>1.5E-3</v>
      </c>
    </row>
    <row r="29" spans="1:19">
      <c r="J29" s="282"/>
      <c r="K29" s="283"/>
      <c r="O29" s="279" t="s">
        <v>200</v>
      </c>
      <c r="P29" s="280">
        <v>5.9999999999999995E-4</v>
      </c>
      <c r="R29" s="279" t="s">
        <v>200</v>
      </c>
      <c r="S29" s="280">
        <v>5.9999999999999995E-4</v>
      </c>
    </row>
    <row r="30" spans="1:19">
      <c r="O30" s="282" t="s">
        <v>208</v>
      </c>
      <c r="P30" s="285">
        <v>1E-4</v>
      </c>
      <c r="R30" s="279" t="s">
        <v>211</v>
      </c>
      <c r="S30" s="280">
        <v>1E-4</v>
      </c>
    </row>
    <row r="31" spans="1:19">
      <c r="R31" s="282" t="s">
        <v>212</v>
      </c>
      <c r="S31" s="283">
        <v>0</v>
      </c>
    </row>
    <row r="32" spans="1:19">
      <c r="K32" s="284">
        <f>SUM(K8:K27)</f>
        <v>0.217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view="pageBreakPreview" zoomScale="115" zoomScaleNormal="85" zoomScaleSheetLayoutView="115" workbookViewId="0">
      <selection activeCell="E27" sqref="E27"/>
    </sheetView>
  </sheetViews>
  <sheetFormatPr defaultColWidth="8.81640625" defaultRowHeight="14.5"/>
  <cols>
    <col min="1" max="1" width="22.7265625" customWidth="1"/>
    <col min="2" max="4" width="0" hidden="1" customWidth="1"/>
    <col min="5" max="8" width="11.1796875" bestFit="1" customWidth="1"/>
    <col min="10" max="10" width="35" bestFit="1" customWidth="1"/>
    <col min="11" max="13" width="0" hidden="1" customWidth="1"/>
    <col min="15" max="17" width="9.7265625" bestFit="1" customWidth="1"/>
  </cols>
  <sheetData>
    <row r="1" spans="1:17">
      <c r="A1" s="426" t="s">
        <v>159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17">
      <c r="A2" s="428" t="s">
        <v>97</v>
      </c>
      <c r="B2" s="429"/>
      <c r="C2" s="429"/>
      <c r="D2" s="429"/>
      <c r="E2" s="429"/>
      <c r="F2" s="429"/>
      <c r="G2" s="429"/>
      <c r="H2" s="430"/>
      <c r="I2" s="2"/>
      <c r="J2" s="431" t="s">
        <v>96</v>
      </c>
      <c r="K2" s="432"/>
      <c r="L2" s="432"/>
      <c r="M2" s="432"/>
      <c r="N2" s="432"/>
      <c r="O2" s="432"/>
      <c r="P2" s="432"/>
      <c r="Q2" s="432"/>
    </row>
    <row r="3" spans="1:17">
      <c r="A3" s="14" t="s">
        <v>0</v>
      </c>
      <c r="B3" s="72" t="s">
        <v>30</v>
      </c>
      <c r="C3" s="72" t="s">
        <v>31</v>
      </c>
      <c r="D3" s="72" t="s">
        <v>32</v>
      </c>
      <c r="E3" s="72" t="s">
        <v>33</v>
      </c>
      <c r="F3" s="72" t="s">
        <v>34</v>
      </c>
      <c r="G3" s="73" t="s">
        <v>87</v>
      </c>
      <c r="H3" s="73" t="s">
        <v>133</v>
      </c>
      <c r="I3" s="2"/>
      <c r="J3" s="3" t="s">
        <v>0</v>
      </c>
      <c r="K3" s="4" t="s">
        <v>30</v>
      </c>
      <c r="L3" s="4" t="s">
        <v>31</v>
      </c>
      <c r="M3" s="4" t="s">
        <v>32</v>
      </c>
      <c r="N3" s="4" t="s">
        <v>33</v>
      </c>
      <c r="O3" s="4" t="s">
        <v>34</v>
      </c>
      <c r="P3" s="22" t="s">
        <v>87</v>
      </c>
      <c r="Q3" s="17" t="s">
        <v>133</v>
      </c>
    </row>
    <row r="4" spans="1:17">
      <c r="A4" s="3" t="s">
        <v>1</v>
      </c>
      <c r="B4" s="42"/>
      <c r="C4" s="42"/>
      <c r="D4" s="42"/>
      <c r="E4" s="42">
        <v>3697.7730000000001</v>
      </c>
      <c r="F4" s="42">
        <v>5576.8119999999999</v>
      </c>
      <c r="G4" s="43">
        <v>7965.7079999999996</v>
      </c>
      <c r="H4" s="43">
        <v>10593.555</v>
      </c>
      <c r="I4" s="11"/>
      <c r="J4" s="6" t="s">
        <v>35</v>
      </c>
      <c r="K4" s="44"/>
      <c r="L4" s="44"/>
      <c r="M4" s="44">
        <v>136.50899999999999</v>
      </c>
      <c r="N4" s="44">
        <v>136.73599999999999</v>
      </c>
      <c r="O4" s="44">
        <v>136.935</v>
      </c>
      <c r="P4" s="60">
        <v>137.40899999999999</v>
      </c>
      <c r="Q4" s="48">
        <v>137.49299999999999</v>
      </c>
    </row>
    <row r="5" spans="1:17">
      <c r="A5" s="6" t="s">
        <v>6</v>
      </c>
      <c r="B5" s="44"/>
      <c r="C5" s="44"/>
      <c r="D5" s="44"/>
      <c r="E5" s="44">
        <v>41.061999999999998</v>
      </c>
      <c r="F5" s="44">
        <v>21.215</v>
      </c>
      <c r="G5" s="45">
        <v>13.343999999999999</v>
      </c>
      <c r="H5" s="45">
        <v>121.258</v>
      </c>
      <c r="I5" s="1"/>
      <c r="J5" s="6" t="s">
        <v>36</v>
      </c>
      <c r="K5" s="44"/>
      <c r="L5" s="44"/>
      <c r="M5" s="44">
        <v>762.73599999999999</v>
      </c>
      <c r="N5" s="44">
        <v>800.101</v>
      </c>
      <c r="O5" s="44">
        <v>1015.276</v>
      </c>
      <c r="P5" s="60">
        <v>1221.2170000000001</v>
      </c>
      <c r="Q5" s="44">
        <v>1356.586</v>
      </c>
    </row>
    <row r="6" spans="1:17">
      <c r="A6" s="26" t="s">
        <v>95</v>
      </c>
      <c r="B6" s="46">
        <f t="shared" ref="B6:H6" si="0">B4+B5</f>
        <v>0</v>
      </c>
      <c r="C6" s="46">
        <f t="shared" si="0"/>
        <v>0</v>
      </c>
      <c r="D6" s="46">
        <f t="shared" si="0"/>
        <v>0</v>
      </c>
      <c r="E6" s="46">
        <f t="shared" si="0"/>
        <v>3738.835</v>
      </c>
      <c r="F6" s="46">
        <f t="shared" si="0"/>
        <v>5598.027</v>
      </c>
      <c r="G6" s="46">
        <f t="shared" si="0"/>
        <v>7979.0519999999997</v>
      </c>
      <c r="H6" s="46">
        <f t="shared" si="0"/>
        <v>10714.813</v>
      </c>
      <c r="I6" s="1"/>
      <c r="J6" s="26" t="s">
        <v>37</v>
      </c>
      <c r="K6" s="46">
        <f t="shared" ref="K6:Q6" si="1">(K4+K5)</f>
        <v>0</v>
      </c>
      <c r="L6" s="46">
        <f t="shared" si="1"/>
        <v>0</v>
      </c>
      <c r="M6" s="46">
        <f t="shared" si="1"/>
        <v>899.245</v>
      </c>
      <c r="N6" s="46">
        <f t="shared" si="1"/>
        <v>936.83699999999999</v>
      </c>
      <c r="O6" s="46">
        <f t="shared" si="1"/>
        <v>1152.211</v>
      </c>
      <c r="P6" s="46">
        <f t="shared" si="1"/>
        <v>1358.6260000000002</v>
      </c>
      <c r="Q6" s="46">
        <f t="shared" si="1"/>
        <v>1494.079</v>
      </c>
    </row>
    <row r="7" spans="1:17">
      <c r="A7" s="24" t="s">
        <v>2</v>
      </c>
      <c r="B7" s="79"/>
      <c r="C7" s="49" t="e">
        <f>(C6/B6-1)</f>
        <v>#DIV/0!</v>
      </c>
      <c r="D7" s="49" t="e">
        <f>(D6/C6-1)</f>
        <v>#DIV/0!</v>
      </c>
      <c r="E7" s="49"/>
      <c r="F7" s="49">
        <f>(F6/E6-1)</f>
        <v>0.4972650571635282</v>
      </c>
      <c r="G7" s="49">
        <f>(G6/F6-1)</f>
        <v>0.42533288960556992</v>
      </c>
      <c r="H7" s="49">
        <f>(H6/G6-1)</f>
        <v>0.34286792466072424</v>
      </c>
      <c r="I7" s="1"/>
      <c r="J7" s="6" t="s">
        <v>38</v>
      </c>
      <c r="K7" s="44"/>
      <c r="L7" s="44"/>
      <c r="M7" s="44"/>
      <c r="N7" s="44"/>
      <c r="O7" s="44"/>
      <c r="P7" s="60"/>
      <c r="Q7" s="44"/>
    </row>
    <row r="8" spans="1:17">
      <c r="A8" s="24" t="s">
        <v>158</v>
      </c>
      <c r="B8" s="79"/>
      <c r="C8" s="50"/>
      <c r="D8" s="50"/>
      <c r="E8" s="50"/>
      <c r="F8" s="49"/>
      <c r="G8" s="49"/>
      <c r="H8" s="25">
        <f>(H6/E6)^(1/3)-1</f>
        <v>0.42041777630745569</v>
      </c>
      <c r="I8" s="1"/>
      <c r="J8" s="6" t="s">
        <v>39</v>
      </c>
      <c r="K8" s="44"/>
      <c r="L8" s="44"/>
      <c r="M8" s="44">
        <v>14.677</v>
      </c>
      <c r="N8" s="44">
        <v>61.814999999999998</v>
      </c>
      <c r="O8" s="44">
        <v>198.19300000000001</v>
      </c>
      <c r="P8" s="60">
        <v>146.15899999999999</v>
      </c>
      <c r="Q8" s="44">
        <v>122.768</v>
      </c>
    </row>
    <row r="9" spans="1:17">
      <c r="A9" s="26" t="s">
        <v>3</v>
      </c>
      <c r="B9" s="46">
        <f t="shared" ref="B9:H9" si="2">SUM(B10:B15)</f>
        <v>0</v>
      </c>
      <c r="C9" s="46">
        <f t="shared" si="2"/>
        <v>0</v>
      </c>
      <c r="D9" s="46">
        <f t="shared" si="2"/>
        <v>0</v>
      </c>
      <c r="E9" s="46">
        <f t="shared" si="2"/>
        <v>3609.1779999999999</v>
      </c>
      <c r="F9" s="46">
        <f t="shared" si="2"/>
        <v>5202.9739999999983</v>
      </c>
      <c r="G9" s="46">
        <f t="shared" si="2"/>
        <v>7407.7350000000006</v>
      </c>
      <c r="H9" s="46">
        <f t="shared" si="2"/>
        <v>10197.423999999999</v>
      </c>
      <c r="I9" s="1"/>
      <c r="J9" s="6" t="s">
        <v>40</v>
      </c>
      <c r="K9" s="44"/>
      <c r="L9" s="44"/>
      <c r="M9" s="44">
        <v>806.78300000000002</v>
      </c>
      <c r="N9" s="44">
        <v>916.93200000000002</v>
      </c>
      <c r="O9" s="44">
        <v>1357.7270000000001</v>
      </c>
      <c r="P9" s="60">
        <v>1855.8109999999999</v>
      </c>
      <c r="Q9" s="44">
        <v>1948.5740000000001</v>
      </c>
    </row>
    <row r="10" spans="1:17">
      <c r="A10" s="6" t="s">
        <v>111</v>
      </c>
      <c r="B10" s="48"/>
      <c r="C10" s="48"/>
      <c r="D10" s="48"/>
      <c r="E10" s="48">
        <v>1817.79</v>
      </c>
      <c r="F10" s="48">
        <v>3527.5729999999999</v>
      </c>
      <c r="G10" s="45">
        <v>6388.2340000000004</v>
      </c>
      <c r="H10" s="45">
        <v>8507.1119999999992</v>
      </c>
      <c r="I10" s="1"/>
      <c r="J10" s="26" t="s">
        <v>41</v>
      </c>
      <c r="K10" s="46">
        <f t="shared" ref="K10:Q10" si="3">(K8+K9)</f>
        <v>0</v>
      </c>
      <c r="L10" s="46">
        <f t="shared" si="3"/>
        <v>0</v>
      </c>
      <c r="M10" s="46">
        <f t="shared" si="3"/>
        <v>821.46</v>
      </c>
      <c r="N10" s="46">
        <f t="shared" si="3"/>
        <v>978.74700000000007</v>
      </c>
      <c r="O10" s="46">
        <f t="shared" si="3"/>
        <v>1555.92</v>
      </c>
      <c r="P10" s="46">
        <f t="shared" si="3"/>
        <v>2001.9699999999998</v>
      </c>
      <c r="Q10" s="46">
        <f t="shared" si="3"/>
        <v>2071.3420000000001</v>
      </c>
    </row>
    <row r="11" spans="1:17">
      <c r="A11" s="6" t="s">
        <v>112</v>
      </c>
      <c r="B11" s="48"/>
      <c r="C11" s="48"/>
      <c r="D11" s="48"/>
      <c r="E11" s="48">
        <v>159.37100000000001</v>
      </c>
      <c r="F11" s="48">
        <v>244.16</v>
      </c>
      <c r="G11" s="45">
        <v>96.3</v>
      </c>
      <c r="H11" s="45">
        <v>0</v>
      </c>
      <c r="I11" s="1"/>
      <c r="J11" s="26" t="s">
        <v>42</v>
      </c>
      <c r="K11" s="46">
        <f t="shared" ref="K11:Q11" si="4">(K6+K8+K7+SUM(K42:K44))</f>
        <v>0</v>
      </c>
      <c r="L11" s="46">
        <f t="shared" si="4"/>
        <v>0</v>
      </c>
      <c r="M11" s="46">
        <f t="shared" si="4"/>
        <v>920.47199999999998</v>
      </c>
      <c r="N11" s="46">
        <f t="shared" si="4"/>
        <v>1006.354</v>
      </c>
      <c r="O11" s="46">
        <f t="shared" si="4"/>
        <v>1365.0029999999999</v>
      </c>
      <c r="P11" s="46">
        <f t="shared" si="4"/>
        <v>1533.8980000000004</v>
      </c>
      <c r="Q11" s="46">
        <f t="shared" si="4"/>
        <v>1655.5170000000001</v>
      </c>
    </row>
    <row r="12" spans="1:17">
      <c r="A12" s="6" t="s">
        <v>113</v>
      </c>
      <c r="B12" s="48"/>
      <c r="C12" s="48"/>
      <c r="D12" s="48"/>
      <c r="E12" s="48">
        <v>1283.3009999999999</v>
      </c>
      <c r="F12" s="48">
        <v>1000.876</v>
      </c>
      <c r="G12" s="45">
        <v>633.03300000000002</v>
      </c>
      <c r="H12" s="45">
        <v>681.75599999999997</v>
      </c>
      <c r="I12" s="1"/>
      <c r="J12" s="26" t="s">
        <v>42</v>
      </c>
      <c r="K12" s="47">
        <f t="shared" ref="K12:Q12" si="5">K46-K34-K9</f>
        <v>0</v>
      </c>
      <c r="L12" s="47">
        <f t="shared" si="5"/>
        <v>0</v>
      </c>
      <c r="M12" s="47">
        <f t="shared" si="5"/>
        <v>920.47200000000009</v>
      </c>
      <c r="N12" s="47">
        <f t="shared" si="5"/>
        <v>1006.3540000000005</v>
      </c>
      <c r="O12" s="47">
        <f t="shared" si="5"/>
        <v>1365.0029999999999</v>
      </c>
      <c r="P12" s="47">
        <f t="shared" si="5"/>
        <v>1534.7979999999995</v>
      </c>
      <c r="Q12" s="47">
        <f t="shared" si="5"/>
        <v>1655.5170000000003</v>
      </c>
    </row>
    <row r="13" spans="1:17">
      <c r="A13" s="6" t="s">
        <v>114</v>
      </c>
      <c r="B13" s="48"/>
      <c r="C13" s="48"/>
      <c r="D13" s="48"/>
      <c r="E13" s="48">
        <v>42.667999999999999</v>
      </c>
      <c r="F13" s="48">
        <v>-64.474999999999994</v>
      </c>
      <c r="G13" s="45">
        <v>-417.93</v>
      </c>
      <c r="H13" s="45">
        <v>143.85</v>
      </c>
      <c r="I13" s="1"/>
      <c r="J13" s="6"/>
      <c r="K13" s="80"/>
      <c r="L13" s="80"/>
      <c r="M13" s="80"/>
      <c r="N13" s="80"/>
      <c r="O13" s="81"/>
      <c r="P13" s="45"/>
      <c r="Q13" s="81"/>
    </row>
    <row r="14" spans="1:17">
      <c r="A14" s="6" t="s">
        <v>115</v>
      </c>
      <c r="B14" s="48"/>
      <c r="C14" s="48"/>
      <c r="D14" s="48"/>
      <c r="E14" s="48">
        <v>153.70699999999999</v>
      </c>
      <c r="F14" s="48">
        <v>247.05600000000001</v>
      </c>
      <c r="G14" s="45">
        <v>356.37299999999999</v>
      </c>
      <c r="H14" s="45">
        <v>449.69900000000001</v>
      </c>
      <c r="I14" s="1"/>
      <c r="J14" s="1"/>
      <c r="K14" s="62"/>
      <c r="L14" s="62"/>
      <c r="M14" s="62"/>
      <c r="N14" s="62"/>
      <c r="O14" s="63"/>
      <c r="P14" s="64"/>
      <c r="Q14" s="65"/>
    </row>
    <row r="15" spans="1:17">
      <c r="A15" s="6" t="s">
        <v>70</v>
      </c>
      <c r="B15" s="48"/>
      <c r="C15" s="48"/>
      <c r="D15" s="48"/>
      <c r="E15" s="48">
        <v>152.34100000000001</v>
      </c>
      <c r="F15" s="48">
        <v>247.78399999999999</v>
      </c>
      <c r="G15" s="45">
        <v>351.72500000000002</v>
      </c>
      <c r="H15" s="45">
        <v>415.00700000000001</v>
      </c>
      <c r="I15" s="1"/>
      <c r="J15" s="6" t="s">
        <v>100</v>
      </c>
      <c r="K15" s="44"/>
      <c r="L15" s="44"/>
      <c r="M15" s="44">
        <v>365.94900000000001</v>
      </c>
      <c r="N15" s="44">
        <v>321.18200000000002</v>
      </c>
      <c r="O15" s="44">
        <v>530.51</v>
      </c>
      <c r="P15" s="60">
        <v>811.78700000000003</v>
      </c>
      <c r="Q15" s="81">
        <v>1062.046</v>
      </c>
    </row>
    <row r="16" spans="1:17">
      <c r="A16" s="26" t="s">
        <v>4</v>
      </c>
      <c r="B16" s="46">
        <f t="shared" ref="B16:H16" si="6">(B6-B9)</f>
        <v>0</v>
      </c>
      <c r="C16" s="46">
        <f t="shared" si="6"/>
        <v>0</v>
      </c>
      <c r="D16" s="46">
        <f t="shared" si="6"/>
        <v>0</v>
      </c>
      <c r="E16" s="46">
        <f t="shared" si="6"/>
        <v>129.65700000000015</v>
      </c>
      <c r="F16" s="46">
        <f t="shared" si="6"/>
        <v>395.0530000000017</v>
      </c>
      <c r="G16" s="46">
        <f t="shared" si="6"/>
        <v>571.3169999999991</v>
      </c>
      <c r="H16" s="46">
        <f t="shared" si="6"/>
        <v>517.38900000000103</v>
      </c>
      <c r="I16" s="1"/>
      <c r="J16" s="6" t="s">
        <v>101</v>
      </c>
      <c r="K16" s="44"/>
      <c r="L16" s="44"/>
      <c r="M16" s="44">
        <v>29.96</v>
      </c>
      <c r="N16" s="44">
        <v>122.779</v>
      </c>
      <c r="O16" s="44">
        <v>230.15799999999999</v>
      </c>
      <c r="P16" s="60">
        <v>144.59299999999999</v>
      </c>
      <c r="Q16" s="81">
        <v>94.319000000000003</v>
      </c>
    </row>
    <row r="17" spans="1:18">
      <c r="A17" s="24" t="s">
        <v>2</v>
      </c>
      <c r="B17" s="79"/>
      <c r="C17" s="49" t="e">
        <f>(C16/B16-1)</f>
        <v>#DIV/0!</v>
      </c>
      <c r="D17" s="49" t="e">
        <f>(D16/C16-1)</f>
        <v>#DIV/0!</v>
      </c>
      <c r="E17" s="49"/>
      <c r="F17" s="49">
        <f>(F16/E16-1)</f>
        <v>2.0469083813446343</v>
      </c>
      <c r="G17" s="49">
        <f>(G16/F16-1)</f>
        <v>0.4461781077475595</v>
      </c>
      <c r="H17" s="49">
        <f>(H16/G16-1)</f>
        <v>-9.4392430121978066E-2</v>
      </c>
      <c r="I17" s="1"/>
      <c r="J17" s="6" t="s">
        <v>102</v>
      </c>
      <c r="K17" s="44"/>
      <c r="L17" s="44"/>
      <c r="M17" s="44"/>
      <c r="N17" s="44">
        <v>10.942</v>
      </c>
      <c r="O17" s="44">
        <v>11.581</v>
      </c>
      <c r="P17" s="60">
        <v>12.284000000000001</v>
      </c>
      <c r="Q17" s="81">
        <v>9.2940000000000005</v>
      </c>
    </row>
    <row r="18" spans="1:18">
      <c r="A18" s="24" t="s">
        <v>158</v>
      </c>
      <c r="B18" s="79"/>
      <c r="C18" s="49"/>
      <c r="D18" s="49"/>
      <c r="E18" s="49"/>
      <c r="F18" s="49"/>
      <c r="G18" s="49"/>
      <c r="H18" s="25">
        <f>(H16/E16)^(1/3)-1</f>
        <v>0.58613594595587371</v>
      </c>
      <c r="I18" s="1"/>
      <c r="J18" s="6" t="s">
        <v>106</v>
      </c>
      <c r="K18" s="44"/>
      <c r="L18" s="44"/>
      <c r="M18" s="44">
        <v>155.33799999999999</v>
      </c>
      <c r="N18" s="44">
        <v>143.03399999999999</v>
      </c>
      <c r="O18" s="44">
        <v>143.03399999999999</v>
      </c>
      <c r="P18" s="60">
        <v>143.03399999999999</v>
      </c>
      <c r="Q18" s="81">
        <v>143.03399999999999</v>
      </c>
    </row>
    <row r="19" spans="1:18">
      <c r="A19" s="26" t="s">
        <v>5</v>
      </c>
      <c r="B19" s="28" t="e">
        <f t="shared" ref="B19:H19" si="7">(B16/B6)</f>
        <v>#DIV/0!</v>
      </c>
      <c r="C19" s="28" t="e">
        <f t="shared" si="7"/>
        <v>#DIV/0!</v>
      </c>
      <c r="D19" s="28" t="e">
        <f t="shared" si="7"/>
        <v>#DIV/0!</v>
      </c>
      <c r="E19" s="28">
        <f t="shared" si="7"/>
        <v>3.4678449303058349E-2</v>
      </c>
      <c r="F19" s="28">
        <f t="shared" si="7"/>
        <v>7.0570041909408743E-2</v>
      </c>
      <c r="G19" s="28">
        <f t="shared" si="7"/>
        <v>7.1602115138490033E-2</v>
      </c>
      <c r="H19" s="28">
        <f t="shared" si="7"/>
        <v>4.828726362279967E-2</v>
      </c>
      <c r="I19" s="1"/>
      <c r="J19" s="6" t="s">
        <v>107</v>
      </c>
      <c r="K19" s="44"/>
      <c r="L19" s="44"/>
      <c r="M19" s="44">
        <v>42.908999999999999</v>
      </c>
      <c r="N19" s="44">
        <v>28.696000000000002</v>
      </c>
      <c r="O19" s="44">
        <v>31.428000000000001</v>
      </c>
      <c r="P19" s="60">
        <v>48.052</v>
      </c>
      <c r="Q19" s="81">
        <v>59.628999999999998</v>
      </c>
    </row>
    <row r="20" spans="1:18">
      <c r="A20" s="6" t="s">
        <v>7</v>
      </c>
      <c r="B20" s="44"/>
      <c r="C20" s="44"/>
      <c r="D20" s="44"/>
      <c r="E20" s="44">
        <v>29.201000000000001</v>
      </c>
      <c r="F20" s="44">
        <v>33.018999999999998</v>
      </c>
      <c r="G20" s="45">
        <v>48.781999999999996</v>
      </c>
      <c r="H20" s="45">
        <v>68.352000000000004</v>
      </c>
      <c r="I20" s="1"/>
      <c r="J20" s="6" t="s">
        <v>105</v>
      </c>
      <c r="K20" s="44"/>
      <c r="L20" s="44"/>
      <c r="M20" s="44"/>
      <c r="N20" s="44">
        <v>0.126</v>
      </c>
      <c r="O20" s="44">
        <v>7.1260000000000003</v>
      </c>
      <c r="P20" s="60">
        <v>0.126</v>
      </c>
      <c r="Q20" s="81">
        <v>0.126</v>
      </c>
    </row>
    <row r="21" spans="1:18">
      <c r="A21" s="6" t="s">
        <v>125</v>
      </c>
      <c r="B21" s="44"/>
      <c r="C21" s="44"/>
      <c r="D21" s="44"/>
      <c r="E21" s="44">
        <v>68.230999999999995</v>
      </c>
      <c r="F21" s="44">
        <v>78.495000000000005</v>
      </c>
      <c r="G21" s="45">
        <v>159.76</v>
      </c>
      <c r="H21" s="45">
        <v>208.09200000000001</v>
      </c>
      <c r="I21" s="1"/>
      <c r="J21" s="6" t="s">
        <v>104</v>
      </c>
      <c r="K21" s="44"/>
      <c r="L21" s="44"/>
      <c r="M21" s="44">
        <v>19.721</v>
      </c>
      <c r="N21" s="44">
        <v>28.100999999999999</v>
      </c>
      <c r="O21" s="44">
        <v>27.928999999999998</v>
      </c>
      <c r="P21" s="60">
        <v>0</v>
      </c>
      <c r="Q21" s="44">
        <v>0</v>
      </c>
    </row>
    <row r="22" spans="1:18">
      <c r="A22" s="6" t="s">
        <v>126</v>
      </c>
      <c r="B22" s="44"/>
      <c r="C22" s="44"/>
      <c r="D22" s="44"/>
      <c r="E22" s="44"/>
      <c r="F22" s="44"/>
      <c r="G22" s="45"/>
      <c r="H22" s="45"/>
      <c r="I22" s="1"/>
      <c r="J22" s="6" t="s">
        <v>127</v>
      </c>
      <c r="K22" s="44"/>
      <c r="L22" s="44"/>
      <c r="M22" s="44"/>
      <c r="N22" s="44">
        <v>12.331</v>
      </c>
      <c r="O22" s="44">
        <v>6.0119999999999996</v>
      </c>
      <c r="P22" s="60">
        <v>5.6340000000000003</v>
      </c>
      <c r="Q22" s="48">
        <v>0</v>
      </c>
    </row>
    <row r="23" spans="1:18">
      <c r="A23" s="26" t="s">
        <v>8</v>
      </c>
      <c r="B23" s="47">
        <f t="shared" ref="B23:H23" si="8">(B16-B20-B21-B22)</f>
        <v>0</v>
      </c>
      <c r="C23" s="47">
        <f t="shared" si="8"/>
        <v>0</v>
      </c>
      <c r="D23" s="47">
        <f t="shared" si="8"/>
        <v>0</v>
      </c>
      <c r="E23" s="47">
        <f t="shared" si="8"/>
        <v>32.225000000000165</v>
      </c>
      <c r="F23" s="47">
        <f t="shared" si="8"/>
        <v>283.53900000000169</v>
      </c>
      <c r="G23" s="47">
        <f t="shared" si="8"/>
        <v>362.77499999999907</v>
      </c>
      <c r="H23" s="47">
        <f t="shared" si="8"/>
        <v>240.94500000000104</v>
      </c>
      <c r="I23" s="1"/>
      <c r="J23" s="6" t="s">
        <v>103</v>
      </c>
      <c r="K23" s="44"/>
      <c r="L23" s="44"/>
      <c r="M23" s="44">
        <v>68.082999999999998</v>
      </c>
      <c r="N23" s="44">
        <v>58.398000000000003</v>
      </c>
      <c r="O23" s="44">
        <v>80.906999999999996</v>
      </c>
      <c r="P23" s="60">
        <v>53.674999999999997</v>
      </c>
      <c r="Q23" s="81">
        <v>50.771999999999998</v>
      </c>
    </row>
    <row r="24" spans="1:18">
      <c r="A24" s="6" t="s">
        <v>9</v>
      </c>
      <c r="B24" s="44"/>
      <c r="C24" s="44"/>
      <c r="D24" s="44"/>
      <c r="E24" s="44">
        <v>-0.43099999999999999</v>
      </c>
      <c r="F24" s="44">
        <v>53.573</v>
      </c>
      <c r="G24" s="45">
        <v>108.151</v>
      </c>
      <c r="H24" s="45">
        <f>44.069+7.377</f>
        <v>51.446000000000005</v>
      </c>
      <c r="I24" s="1"/>
      <c r="J24" s="26" t="s">
        <v>43</v>
      </c>
      <c r="K24" s="46">
        <f t="shared" ref="K24:Q24" si="9">SUM(K25:K33)</f>
        <v>0</v>
      </c>
      <c r="L24" s="46">
        <f t="shared" si="9"/>
        <v>0</v>
      </c>
      <c r="M24" s="46">
        <f t="shared" si="9"/>
        <v>1274.44</v>
      </c>
      <c r="N24" s="46">
        <f t="shared" si="9"/>
        <v>1288.4760000000003</v>
      </c>
      <c r="O24" s="46">
        <f t="shared" si="9"/>
        <v>1920.1860000000001</v>
      </c>
      <c r="P24" s="46">
        <f t="shared" si="9"/>
        <v>2853.8220000000001</v>
      </c>
      <c r="Q24" s="46">
        <f t="shared" si="9"/>
        <v>3426.7650000000003</v>
      </c>
    </row>
    <row r="25" spans="1:18" ht="15" customHeight="1">
      <c r="A25" s="24" t="s">
        <v>10</v>
      </c>
      <c r="B25" s="49" t="e">
        <f t="shared" ref="B25:H25" si="10">(B24/B23)</f>
        <v>#DIV/0!</v>
      </c>
      <c r="C25" s="49" t="e">
        <f t="shared" si="10"/>
        <v>#DIV/0!</v>
      </c>
      <c r="D25" s="49" t="e">
        <f t="shared" si="10"/>
        <v>#DIV/0!</v>
      </c>
      <c r="E25" s="49" t="s">
        <v>92</v>
      </c>
      <c r="F25" s="49">
        <f t="shared" si="10"/>
        <v>0.18894402533690138</v>
      </c>
      <c r="G25" s="49">
        <f t="shared" si="10"/>
        <v>0.29812142512576739</v>
      </c>
      <c r="H25" s="49">
        <f t="shared" si="10"/>
        <v>0.21351760775280576</v>
      </c>
      <c r="I25" s="1"/>
      <c r="J25" s="6" t="s">
        <v>44</v>
      </c>
      <c r="K25" s="44"/>
      <c r="L25" s="44"/>
      <c r="M25" s="44">
        <v>625.91499999999996</v>
      </c>
      <c r="N25" s="44">
        <v>517.39200000000005</v>
      </c>
      <c r="O25" s="44">
        <v>856.56299999999999</v>
      </c>
      <c r="P25" s="60">
        <v>1249.04</v>
      </c>
      <c r="Q25" s="81">
        <v>1329</v>
      </c>
      <c r="R25" s="98"/>
    </row>
    <row r="26" spans="1:18">
      <c r="A26" s="26" t="s">
        <v>11</v>
      </c>
      <c r="B26" s="47">
        <f t="shared" ref="B26:H26" si="11">(B23-B24)</f>
        <v>0</v>
      </c>
      <c r="C26" s="47">
        <f t="shared" si="11"/>
        <v>0</v>
      </c>
      <c r="D26" s="47">
        <f t="shared" si="11"/>
        <v>0</v>
      </c>
      <c r="E26" s="47">
        <f t="shared" si="11"/>
        <v>32.656000000000162</v>
      </c>
      <c r="F26" s="47">
        <f t="shared" si="11"/>
        <v>229.96600000000169</v>
      </c>
      <c r="G26" s="47">
        <f t="shared" si="11"/>
        <v>254.62399999999906</v>
      </c>
      <c r="H26" s="47">
        <f t="shared" si="11"/>
        <v>189.49900000000105</v>
      </c>
      <c r="I26" s="1"/>
      <c r="J26" s="6" t="s">
        <v>45</v>
      </c>
      <c r="K26" s="44"/>
      <c r="L26" s="44"/>
      <c r="M26" s="44">
        <v>212.839</v>
      </c>
      <c r="N26" s="44">
        <v>337.90199999999999</v>
      </c>
      <c r="O26" s="44">
        <v>605.89099999999996</v>
      </c>
      <c r="P26" s="60">
        <v>1058.9780000000001</v>
      </c>
      <c r="Q26" s="81">
        <v>1066.67</v>
      </c>
      <c r="R26" s="98"/>
    </row>
    <row r="27" spans="1:18">
      <c r="A27" s="26" t="s">
        <v>81</v>
      </c>
      <c r="B27" s="29" t="e">
        <f t="shared" ref="B27:H27" si="12">B26/B6</f>
        <v>#DIV/0!</v>
      </c>
      <c r="C27" s="29" t="e">
        <f t="shared" si="12"/>
        <v>#DIV/0!</v>
      </c>
      <c r="D27" s="29" t="e">
        <f t="shared" si="12"/>
        <v>#DIV/0!</v>
      </c>
      <c r="E27" s="29">
        <f t="shared" si="12"/>
        <v>8.7342715043590216E-3</v>
      </c>
      <c r="F27" s="29">
        <f t="shared" si="12"/>
        <v>4.1079830447406145E-2</v>
      </c>
      <c r="G27" s="29">
        <f t="shared" si="12"/>
        <v>3.1911560420962173E-2</v>
      </c>
      <c r="H27" s="29">
        <f t="shared" si="12"/>
        <v>1.7685702960938379E-2</v>
      </c>
      <c r="I27" s="1"/>
      <c r="J27" s="6" t="s">
        <v>46</v>
      </c>
      <c r="K27" s="44"/>
      <c r="L27" s="44"/>
      <c r="M27" s="44">
        <v>13.103999999999999</v>
      </c>
      <c r="N27" s="44">
        <f>6.269+40.936</f>
        <v>47.204999999999998</v>
      </c>
      <c r="O27" s="44">
        <f>32.688+46.609</f>
        <v>79.296999999999997</v>
      </c>
      <c r="P27" s="60">
        <f>16.946+73.372</f>
        <v>90.317999999999998</v>
      </c>
      <c r="Q27" s="45">
        <f>65.272+38.715</f>
        <v>103.98700000000001</v>
      </c>
      <c r="R27" s="98"/>
    </row>
    <row r="28" spans="1:18">
      <c r="A28" s="6" t="s">
        <v>12</v>
      </c>
      <c r="B28" s="7"/>
      <c r="C28" s="7"/>
      <c r="D28" s="7"/>
      <c r="E28" s="7"/>
      <c r="F28" s="7"/>
      <c r="G28" s="12"/>
      <c r="H28" s="12"/>
      <c r="I28" s="1"/>
      <c r="J28" s="6" t="s">
        <v>85</v>
      </c>
      <c r="K28" s="44"/>
      <c r="L28" s="44"/>
      <c r="M28" s="44" t="s">
        <v>128</v>
      </c>
      <c r="N28" s="44">
        <v>0</v>
      </c>
      <c r="O28" s="44">
        <v>0</v>
      </c>
      <c r="P28" s="60">
        <v>24.481999999999999</v>
      </c>
      <c r="Q28" s="81">
        <v>103.568</v>
      </c>
      <c r="R28" s="98"/>
    </row>
    <row r="29" spans="1:18">
      <c r="A29" s="6" t="s">
        <v>71</v>
      </c>
      <c r="B29" s="7"/>
      <c r="C29" s="7"/>
      <c r="D29" s="7"/>
      <c r="E29" s="7"/>
      <c r="F29" s="7">
        <v>-3.887</v>
      </c>
      <c r="G29" s="12">
        <v>-2.0699999999999998</v>
      </c>
      <c r="H29" s="12">
        <v>-0.189</v>
      </c>
      <c r="I29" s="1"/>
      <c r="J29" s="6" t="s">
        <v>68</v>
      </c>
      <c r="K29" s="44"/>
      <c r="L29" s="44"/>
      <c r="M29" s="44">
        <v>85.507999999999996</v>
      </c>
      <c r="N29" s="44">
        <v>255.17</v>
      </c>
      <c r="O29" s="44">
        <v>214.68100000000001</v>
      </c>
      <c r="P29" s="60">
        <v>397.13099999999997</v>
      </c>
      <c r="Q29" s="81">
        <v>716.39499999999998</v>
      </c>
      <c r="R29" s="98"/>
    </row>
    <row r="30" spans="1:18">
      <c r="A30" s="26" t="s">
        <v>13</v>
      </c>
      <c r="B30" s="27">
        <f t="shared" ref="B30:H30" si="13">(B26-B28+B29)</f>
        <v>0</v>
      </c>
      <c r="C30" s="27">
        <f t="shared" si="13"/>
        <v>0</v>
      </c>
      <c r="D30" s="27">
        <f t="shared" si="13"/>
        <v>0</v>
      </c>
      <c r="E30" s="27">
        <f t="shared" si="13"/>
        <v>32.656000000000162</v>
      </c>
      <c r="F30" s="27">
        <f t="shared" si="13"/>
        <v>226.07900000000168</v>
      </c>
      <c r="G30" s="27">
        <f t="shared" si="13"/>
        <v>252.55399999999906</v>
      </c>
      <c r="H30" s="27">
        <f t="shared" si="13"/>
        <v>189.31000000000105</v>
      </c>
      <c r="I30" s="1"/>
      <c r="J30" s="6" t="s">
        <v>69</v>
      </c>
      <c r="K30" s="44"/>
      <c r="L30" s="44"/>
      <c r="M30" s="44">
        <v>118.67100000000001</v>
      </c>
      <c r="N30" s="44">
        <v>128.429</v>
      </c>
      <c r="O30" s="44">
        <v>150.05000000000001</v>
      </c>
      <c r="P30" s="60">
        <v>24.11</v>
      </c>
      <c r="Q30" s="81">
        <v>91.992999999999995</v>
      </c>
      <c r="R30" s="98"/>
    </row>
    <row r="31" spans="1:18">
      <c r="A31" s="24" t="s">
        <v>2</v>
      </c>
      <c r="B31" s="82"/>
      <c r="C31" s="49" t="e">
        <f>(C30/B30-1)</f>
        <v>#DIV/0!</v>
      </c>
      <c r="D31" s="49" t="e">
        <f>-(D30/C30-1)</f>
        <v>#DIV/0!</v>
      </c>
      <c r="E31" s="49"/>
      <c r="F31" s="51">
        <f>(F30/E30-1)</f>
        <v>5.9230463008329419</v>
      </c>
      <c r="G31" s="51">
        <f>(G30/F30-1)</f>
        <v>0.11710508273655318</v>
      </c>
      <c r="H31" s="51">
        <f>(H30/G30-1)</f>
        <v>-0.2504177324453315</v>
      </c>
      <c r="I31" s="1"/>
      <c r="J31" s="6" t="s">
        <v>41</v>
      </c>
      <c r="K31" s="44"/>
      <c r="L31" s="44"/>
      <c r="M31" s="44">
        <v>218.40299999999999</v>
      </c>
      <c r="N31" s="44">
        <v>1.226</v>
      </c>
      <c r="O31" s="44">
        <v>7.38</v>
      </c>
      <c r="P31" s="60">
        <v>9.7629999999999999</v>
      </c>
      <c r="Q31" s="81">
        <v>9.2170000000000005</v>
      </c>
      <c r="R31" s="98"/>
    </row>
    <row r="32" spans="1:18">
      <c r="A32" s="24" t="s">
        <v>158</v>
      </c>
      <c r="B32" s="82"/>
      <c r="C32" s="49"/>
      <c r="D32" s="49"/>
      <c r="E32" s="49"/>
      <c r="F32" s="49"/>
      <c r="G32" s="49"/>
      <c r="H32" s="25">
        <f>(H30/E30)^(1/3)-1</f>
        <v>0.79640197020876391</v>
      </c>
      <c r="I32" s="1"/>
      <c r="J32" s="6" t="s">
        <v>118</v>
      </c>
      <c r="K32" s="44"/>
      <c r="L32" s="44"/>
      <c r="M32" s="44"/>
      <c r="N32" s="44">
        <v>0</v>
      </c>
      <c r="O32" s="44">
        <v>6.3239999999999998</v>
      </c>
      <c r="P32" s="60"/>
      <c r="Q32" s="81">
        <v>5.9349999999999996</v>
      </c>
      <c r="R32" s="98"/>
    </row>
    <row r="33" spans="1:18">
      <c r="A33" s="3" t="s">
        <v>14</v>
      </c>
      <c r="B33" s="52"/>
      <c r="C33" s="52"/>
      <c r="D33" s="52"/>
      <c r="E33" s="52">
        <v>0.47</v>
      </c>
      <c r="F33" s="52">
        <v>3.33</v>
      </c>
      <c r="G33" s="53">
        <v>3.69</v>
      </c>
      <c r="H33" s="53">
        <v>2.75</v>
      </c>
      <c r="I33" s="1"/>
      <c r="J33" s="6" t="s">
        <v>129</v>
      </c>
      <c r="K33" s="61"/>
      <c r="L33" s="61"/>
      <c r="M33" s="61"/>
      <c r="N33" s="44">
        <v>1.1519999999999999</v>
      </c>
      <c r="O33" s="44"/>
      <c r="P33" s="60"/>
      <c r="Q33" s="44"/>
      <c r="R33" s="98"/>
    </row>
    <row r="34" spans="1:18">
      <c r="A34" s="30" t="s">
        <v>2</v>
      </c>
      <c r="B34" s="83"/>
      <c r="C34" s="54" t="e">
        <f>(C33/B33-1)</f>
        <v>#DIV/0!</v>
      </c>
      <c r="D34" s="54" t="e">
        <f>-(D33/C33-1)</f>
        <v>#DIV/0!</v>
      </c>
      <c r="E34" s="54"/>
      <c r="F34" s="54">
        <f>(F33/E33-1)</f>
        <v>6.085106382978724</v>
      </c>
      <c r="G34" s="54">
        <f>(G33/F33-1)</f>
        <v>0.10810810810810811</v>
      </c>
      <c r="H34" s="54">
        <f>(H33/G33-1)</f>
        <v>-0.2547425474254742</v>
      </c>
      <c r="I34" s="2"/>
      <c r="J34" s="26" t="s">
        <v>47</v>
      </c>
      <c r="K34" s="46">
        <f t="shared" ref="K34:Q34" si="14">SUM(K35:K40)</f>
        <v>0</v>
      </c>
      <c r="L34" s="46">
        <f t="shared" si="14"/>
        <v>0</v>
      </c>
      <c r="M34" s="46">
        <f t="shared" si="14"/>
        <v>229.14500000000001</v>
      </c>
      <c r="N34" s="46">
        <f t="shared" si="14"/>
        <v>90.778999999999996</v>
      </c>
      <c r="O34" s="46">
        <f t="shared" si="14"/>
        <v>266.14099999999996</v>
      </c>
      <c r="P34" s="46">
        <f t="shared" si="14"/>
        <v>682.39799999999991</v>
      </c>
      <c r="Q34" s="46">
        <f t="shared" si="14"/>
        <v>1241.894</v>
      </c>
      <c r="R34" s="98"/>
    </row>
    <row r="35" spans="1:18">
      <c r="A35" s="24" t="s">
        <v>158</v>
      </c>
      <c r="B35" s="83"/>
      <c r="C35" s="38"/>
      <c r="D35" s="38"/>
      <c r="E35" s="31"/>
      <c r="F35" s="31"/>
      <c r="G35" s="54"/>
      <c r="H35" s="36">
        <f>(H33/E33)^(1/3)-1</f>
        <v>0.80195916618043639</v>
      </c>
      <c r="I35" s="2"/>
      <c r="J35" s="6" t="s">
        <v>83</v>
      </c>
      <c r="K35" s="44"/>
      <c r="L35" s="44"/>
      <c r="M35" s="44">
        <v>92.769000000000005</v>
      </c>
      <c r="N35" s="44">
        <v>53.478000000000002</v>
      </c>
      <c r="O35" s="44">
        <v>138.83699999999999</v>
      </c>
      <c r="P35" s="60">
        <v>558.08799999999997</v>
      </c>
      <c r="Q35" s="45">
        <v>1078.4690000000001</v>
      </c>
      <c r="R35" s="98"/>
    </row>
    <row r="36" spans="1:18">
      <c r="A36" s="1"/>
      <c r="B36" s="10"/>
      <c r="C36" s="10"/>
      <c r="D36" s="10"/>
      <c r="E36" s="10"/>
      <c r="F36" s="1"/>
      <c r="G36" s="10"/>
      <c r="H36" s="10"/>
      <c r="I36" s="2"/>
      <c r="J36" s="6" t="s">
        <v>84</v>
      </c>
      <c r="K36" s="61"/>
      <c r="L36" s="61"/>
      <c r="M36" s="61"/>
      <c r="N36" s="44">
        <v>13.052</v>
      </c>
      <c r="O36" s="44">
        <v>47.475000000000001</v>
      </c>
      <c r="P36" s="60">
        <v>77.997</v>
      </c>
      <c r="Q36" s="81">
        <v>93.655000000000001</v>
      </c>
      <c r="R36" s="98"/>
    </row>
    <row r="37" spans="1:18">
      <c r="A37" s="1"/>
      <c r="B37" s="10"/>
      <c r="C37" s="10"/>
      <c r="D37" s="10"/>
      <c r="E37" s="10"/>
      <c r="F37" s="1"/>
      <c r="G37" s="10"/>
      <c r="H37" s="10"/>
      <c r="I37" s="2"/>
      <c r="J37" s="6" t="s">
        <v>79</v>
      </c>
      <c r="K37" s="61"/>
      <c r="L37" s="61"/>
      <c r="M37" s="61">
        <v>120.042</v>
      </c>
      <c r="N37" s="44">
        <v>23.402999999999999</v>
      </c>
      <c r="O37" s="44">
        <v>38.085999999999999</v>
      </c>
      <c r="P37" s="60">
        <v>25.079000000000001</v>
      </c>
      <c r="Q37" s="81">
        <v>49.697000000000003</v>
      </c>
      <c r="R37" s="98"/>
    </row>
    <row r="38" spans="1:18">
      <c r="A38" s="2" t="s">
        <v>15</v>
      </c>
      <c r="B38" s="10"/>
      <c r="C38" s="10"/>
      <c r="D38" s="10"/>
      <c r="E38" s="10"/>
      <c r="F38" s="1"/>
      <c r="G38" s="10"/>
      <c r="H38" s="10"/>
      <c r="I38" s="1"/>
      <c r="J38" s="6" t="s">
        <v>98</v>
      </c>
      <c r="K38" s="44"/>
      <c r="L38" s="44"/>
      <c r="M38" s="44">
        <v>16.334</v>
      </c>
      <c r="N38" s="44">
        <v>0.84599999999999997</v>
      </c>
      <c r="O38" s="44">
        <v>2.5230000000000001</v>
      </c>
      <c r="P38" s="60">
        <v>3.1819999999999999</v>
      </c>
      <c r="Q38" s="81">
        <v>3.544</v>
      </c>
      <c r="R38" s="98"/>
    </row>
    <row r="39" spans="1:18">
      <c r="A39" s="3" t="s">
        <v>0</v>
      </c>
      <c r="B39" s="74" t="s">
        <v>30</v>
      </c>
      <c r="C39" s="74" t="s">
        <v>31</v>
      </c>
      <c r="D39" s="74" t="s">
        <v>32</v>
      </c>
      <c r="E39" s="74" t="s">
        <v>33</v>
      </c>
      <c r="F39" s="74" t="s">
        <v>34</v>
      </c>
      <c r="G39" s="74" t="s">
        <v>87</v>
      </c>
      <c r="H39" s="18"/>
      <c r="I39" s="1"/>
      <c r="J39" s="6" t="s">
        <v>99</v>
      </c>
      <c r="K39" s="44"/>
      <c r="L39" s="44"/>
      <c r="M39" s="44"/>
      <c r="N39" s="44">
        <v>0</v>
      </c>
      <c r="O39" s="44">
        <v>39.22</v>
      </c>
      <c r="P39" s="60">
        <v>18.052</v>
      </c>
      <c r="Q39" s="81">
        <v>16.529</v>
      </c>
      <c r="R39" s="98"/>
    </row>
    <row r="40" spans="1:18">
      <c r="A40" s="3" t="s">
        <v>16</v>
      </c>
      <c r="B40" s="42"/>
      <c r="C40" s="42"/>
      <c r="D40" s="42"/>
      <c r="E40" s="55">
        <v>12.8</v>
      </c>
      <c r="F40" s="55">
        <v>6.2690000000000001</v>
      </c>
      <c r="G40" s="55">
        <v>32.688000000000002</v>
      </c>
      <c r="H40" s="19"/>
      <c r="I40" s="1"/>
      <c r="J40" s="6" t="s">
        <v>130</v>
      </c>
      <c r="K40" s="44"/>
      <c r="L40" s="44"/>
      <c r="M40" s="44"/>
      <c r="N40" s="44"/>
      <c r="O40" s="44"/>
      <c r="P40" s="60"/>
      <c r="Q40" s="44"/>
      <c r="R40" s="98"/>
    </row>
    <row r="41" spans="1:18">
      <c r="A41" s="3" t="s">
        <v>17</v>
      </c>
      <c r="B41" s="42"/>
      <c r="C41" s="42"/>
      <c r="D41" s="42"/>
      <c r="E41" s="42">
        <v>70.519000000000005</v>
      </c>
      <c r="F41" s="42">
        <v>-87.183000000000007</v>
      </c>
      <c r="G41" s="42">
        <v>-179.852</v>
      </c>
      <c r="H41" s="19"/>
      <c r="I41" s="1"/>
      <c r="J41" s="26" t="s">
        <v>48</v>
      </c>
      <c r="K41" s="46">
        <f t="shared" ref="K41:Q41" si="15">(K24-K34-K9)</f>
        <v>0</v>
      </c>
      <c r="L41" s="46">
        <f t="shared" si="15"/>
        <v>0</v>
      </c>
      <c r="M41" s="46">
        <f t="shared" si="15"/>
        <v>238.51200000000006</v>
      </c>
      <c r="N41" s="46">
        <f t="shared" si="15"/>
        <v>280.76500000000033</v>
      </c>
      <c r="O41" s="46">
        <f t="shared" si="15"/>
        <v>296.31799999999998</v>
      </c>
      <c r="P41" s="46">
        <f t="shared" si="15"/>
        <v>315.61300000000006</v>
      </c>
      <c r="Q41" s="46">
        <f t="shared" si="15"/>
        <v>236.29700000000003</v>
      </c>
    </row>
    <row r="42" spans="1:18">
      <c r="A42" s="6" t="s">
        <v>80</v>
      </c>
      <c r="B42" s="44"/>
      <c r="C42" s="44"/>
      <c r="D42" s="44"/>
      <c r="E42" s="44">
        <v>-40.645000000000003</v>
      </c>
      <c r="F42" s="44">
        <v>-402.149</v>
      </c>
      <c r="G42" s="44">
        <v>-103.60899999999999</v>
      </c>
      <c r="H42" s="20"/>
      <c r="I42" s="1"/>
      <c r="J42" s="6" t="s">
        <v>49</v>
      </c>
      <c r="K42" s="44"/>
      <c r="L42" s="44"/>
      <c r="M42" s="44"/>
      <c r="N42" s="44"/>
      <c r="O42" s="44"/>
      <c r="P42" s="60">
        <v>8.3640000000000008</v>
      </c>
      <c r="Q42" s="81">
        <v>12.606</v>
      </c>
    </row>
    <row r="43" spans="1:18">
      <c r="A43" s="6" t="s">
        <v>18</v>
      </c>
      <c r="B43" s="44"/>
      <c r="C43" s="44"/>
      <c r="D43" s="44"/>
      <c r="E43" s="44">
        <v>-36.430999999999997</v>
      </c>
      <c r="F43" s="44">
        <v>515.75099999999998</v>
      </c>
      <c r="G43" s="44">
        <v>267.71800000000002</v>
      </c>
      <c r="H43" s="20"/>
      <c r="I43" s="1"/>
      <c r="J43" s="6" t="s">
        <v>86</v>
      </c>
      <c r="K43" s="44"/>
      <c r="L43" s="44"/>
      <c r="M43" s="44"/>
      <c r="N43" s="44"/>
      <c r="O43" s="44"/>
      <c r="P43" s="60"/>
      <c r="Q43" s="44"/>
    </row>
    <row r="44" spans="1:18">
      <c r="A44" s="3" t="s">
        <v>19</v>
      </c>
      <c r="B44" s="46">
        <f t="shared" ref="B44:G44" si="16">+B41+B42+B43</f>
        <v>0</v>
      </c>
      <c r="C44" s="46">
        <f t="shared" si="16"/>
        <v>0</v>
      </c>
      <c r="D44" s="46">
        <f t="shared" si="16"/>
        <v>0</v>
      </c>
      <c r="E44" s="46">
        <f t="shared" si="16"/>
        <v>-6.5569999999999951</v>
      </c>
      <c r="F44" s="46">
        <f t="shared" si="16"/>
        <v>26.418999999999983</v>
      </c>
      <c r="G44" s="46">
        <f t="shared" si="16"/>
        <v>-15.742999999999995</v>
      </c>
      <c r="H44" s="19"/>
      <c r="I44" s="1"/>
      <c r="J44" s="6" t="s">
        <v>72</v>
      </c>
      <c r="K44" s="44"/>
      <c r="L44" s="44"/>
      <c r="M44" s="44">
        <v>6.55</v>
      </c>
      <c r="N44" s="44">
        <v>7.702</v>
      </c>
      <c r="O44" s="44">
        <v>14.599</v>
      </c>
      <c r="P44" s="60">
        <v>20.748999999999999</v>
      </c>
      <c r="Q44" s="81">
        <v>26.064</v>
      </c>
    </row>
    <row r="45" spans="1:18">
      <c r="A45" s="3" t="s">
        <v>73</v>
      </c>
      <c r="B45" s="46"/>
      <c r="C45" s="46"/>
      <c r="D45" s="46"/>
      <c r="E45" s="46">
        <f t="shared" ref="E45:F45" si="17">E40+E44</f>
        <v>6.2430000000000057</v>
      </c>
      <c r="F45" s="46">
        <f t="shared" si="17"/>
        <v>32.687999999999981</v>
      </c>
      <c r="G45" s="46">
        <f>G40+G44</f>
        <v>16.945000000000007</v>
      </c>
      <c r="H45" s="19"/>
      <c r="I45" s="1"/>
      <c r="J45" s="3"/>
      <c r="K45" s="55"/>
      <c r="L45" s="55"/>
      <c r="M45" s="55"/>
      <c r="N45" s="55"/>
      <c r="O45" s="55"/>
      <c r="P45" s="66"/>
      <c r="Q45" s="43"/>
    </row>
    <row r="46" spans="1:18">
      <c r="A46" s="1"/>
      <c r="B46" s="10"/>
      <c r="C46" s="10"/>
      <c r="D46" s="10"/>
      <c r="E46" s="10"/>
      <c r="F46" s="1"/>
      <c r="G46" s="10"/>
      <c r="H46" s="10"/>
      <c r="I46" s="1"/>
      <c r="J46" s="26" t="s">
        <v>93</v>
      </c>
      <c r="K46" s="47">
        <f t="shared" ref="K46:Q46" si="18">SUM(K15:K23)+K24</f>
        <v>0</v>
      </c>
      <c r="L46" s="47">
        <f t="shared" si="18"/>
        <v>0</v>
      </c>
      <c r="M46" s="47">
        <f t="shared" si="18"/>
        <v>1956.4</v>
      </c>
      <c r="N46" s="47">
        <f t="shared" si="18"/>
        <v>2014.0650000000005</v>
      </c>
      <c r="O46" s="47">
        <f t="shared" si="18"/>
        <v>2988.8710000000001</v>
      </c>
      <c r="P46" s="47">
        <f t="shared" si="18"/>
        <v>4073.0069999999996</v>
      </c>
      <c r="Q46" s="47">
        <f t="shared" si="18"/>
        <v>4845.9850000000006</v>
      </c>
    </row>
    <row r="47" spans="1:18">
      <c r="A47" s="9" t="s">
        <v>20</v>
      </c>
      <c r="B47" s="74" t="s">
        <v>30</v>
      </c>
      <c r="C47" s="74" t="s">
        <v>31</v>
      </c>
      <c r="D47" s="74" t="s">
        <v>32</v>
      </c>
      <c r="E47" s="74" t="s">
        <v>33</v>
      </c>
      <c r="F47" s="74" t="s">
        <v>34</v>
      </c>
      <c r="G47" s="75" t="s">
        <v>87</v>
      </c>
      <c r="H47" s="73"/>
      <c r="I47" s="1"/>
      <c r="J47" s="26" t="s">
        <v>94</v>
      </c>
      <c r="K47" s="47">
        <f t="shared" ref="K47:Q47" si="19">K44+K34+K10+K6+K42+K43+K45</f>
        <v>0</v>
      </c>
      <c r="L47" s="47">
        <f t="shared" si="19"/>
        <v>0</v>
      </c>
      <c r="M47" s="47">
        <f t="shared" si="19"/>
        <v>1956.4</v>
      </c>
      <c r="N47" s="47">
        <f t="shared" si="19"/>
        <v>2014.0650000000001</v>
      </c>
      <c r="O47" s="47">
        <f t="shared" si="19"/>
        <v>2988.8710000000001</v>
      </c>
      <c r="P47" s="47">
        <f t="shared" si="19"/>
        <v>4072.107</v>
      </c>
      <c r="Q47" s="47">
        <f t="shared" si="19"/>
        <v>4845.9849999999997</v>
      </c>
      <c r="R47" s="90">
        <f>Q47-Q46</f>
        <v>0</v>
      </c>
    </row>
    <row r="48" spans="1:18">
      <c r="A48" s="6" t="s">
        <v>21</v>
      </c>
      <c r="B48" s="57">
        <f t="shared" ref="B48:G48" si="20">B23</f>
        <v>0</v>
      </c>
      <c r="C48" s="57">
        <f t="shared" si="20"/>
        <v>0</v>
      </c>
      <c r="D48" s="57">
        <f t="shared" si="20"/>
        <v>0</v>
      </c>
      <c r="E48" s="57">
        <f t="shared" si="20"/>
        <v>32.225000000000165</v>
      </c>
      <c r="F48" s="57">
        <f t="shared" si="20"/>
        <v>283.53900000000169</v>
      </c>
      <c r="G48" s="58">
        <f t="shared" si="20"/>
        <v>362.77499999999907</v>
      </c>
      <c r="H48" s="45"/>
      <c r="I48" s="1"/>
      <c r="J48" s="2" t="s">
        <v>50</v>
      </c>
      <c r="K48" s="10"/>
      <c r="L48" s="10"/>
      <c r="M48" s="10"/>
      <c r="N48" s="10"/>
      <c r="O48" s="1"/>
      <c r="P48" s="16"/>
      <c r="Q48" s="1"/>
    </row>
    <row r="49" spans="1:17">
      <c r="A49" s="6" t="s">
        <v>22</v>
      </c>
      <c r="B49" s="57">
        <f t="shared" ref="B49:G49" si="21">B20</f>
        <v>0</v>
      </c>
      <c r="C49" s="57">
        <f t="shared" si="21"/>
        <v>0</v>
      </c>
      <c r="D49" s="57">
        <f t="shared" si="21"/>
        <v>0</v>
      </c>
      <c r="E49" s="57">
        <f t="shared" si="21"/>
        <v>29.201000000000001</v>
      </c>
      <c r="F49" s="57">
        <f t="shared" si="21"/>
        <v>33.018999999999998</v>
      </c>
      <c r="G49" s="58">
        <f t="shared" si="21"/>
        <v>48.781999999999996</v>
      </c>
      <c r="H49" s="45"/>
      <c r="I49" s="1"/>
      <c r="J49" s="3" t="s">
        <v>51</v>
      </c>
      <c r="K49" s="4" t="s">
        <v>30</v>
      </c>
      <c r="L49" s="4" t="s">
        <v>31</v>
      </c>
      <c r="M49" s="4" t="s">
        <v>32</v>
      </c>
      <c r="N49" s="4" t="s">
        <v>33</v>
      </c>
      <c r="O49" s="4" t="s">
        <v>34</v>
      </c>
      <c r="P49" s="17" t="s">
        <v>87</v>
      </c>
      <c r="Q49" s="17" t="s">
        <v>133</v>
      </c>
    </row>
    <row r="50" spans="1:17">
      <c r="A50" s="6" t="s">
        <v>23</v>
      </c>
      <c r="B50" s="57">
        <f t="shared" ref="B50:D50" si="22">B22</f>
        <v>0</v>
      </c>
      <c r="C50" s="57">
        <f t="shared" si="22"/>
        <v>0</v>
      </c>
      <c r="D50" s="57">
        <f t="shared" si="22"/>
        <v>0</v>
      </c>
      <c r="E50" s="57">
        <f>90.7-E49</f>
        <v>61.499000000000002</v>
      </c>
      <c r="F50" s="57">
        <f>139.7-F49</f>
        <v>106.68099999999998</v>
      </c>
      <c r="G50" s="58">
        <f>211.9-G49</f>
        <v>163.11799999999999</v>
      </c>
      <c r="H50" s="45"/>
      <c r="I50" s="1"/>
      <c r="J50" s="5" t="s">
        <v>52</v>
      </c>
      <c r="K50" s="39"/>
      <c r="L50" s="39"/>
      <c r="M50" s="39"/>
      <c r="N50" s="39">
        <v>23.75</v>
      </c>
      <c r="O50" s="39">
        <v>62.95</v>
      </c>
      <c r="P50" s="67">
        <v>156.25</v>
      </c>
      <c r="Q50" s="40">
        <v>81.650000000000006</v>
      </c>
    </row>
    <row r="51" spans="1:17">
      <c r="A51" s="6" t="s">
        <v>24</v>
      </c>
      <c r="B51" s="44"/>
      <c r="C51" s="57">
        <f t="shared" ref="C51:D51" si="23">-((L41-K41)-(L27-K27))</f>
        <v>0</v>
      </c>
      <c r="D51" s="57">
        <f t="shared" si="23"/>
        <v>-225.40800000000007</v>
      </c>
      <c r="E51" s="57">
        <v>-50.5</v>
      </c>
      <c r="F51" s="57">
        <v>-498.3</v>
      </c>
      <c r="G51" s="58">
        <v>-670.2</v>
      </c>
      <c r="H51" s="45"/>
      <c r="I51" s="1"/>
      <c r="J51" s="27" t="s">
        <v>53</v>
      </c>
      <c r="K51" s="34">
        <f t="shared" ref="K51:Q51" si="24">B33</f>
        <v>0</v>
      </c>
      <c r="L51" s="34">
        <f t="shared" si="24"/>
        <v>0</v>
      </c>
      <c r="M51" s="34">
        <f t="shared" si="24"/>
        <v>0</v>
      </c>
      <c r="N51" s="34">
        <f t="shared" si="24"/>
        <v>0.47</v>
      </c>
      <c r="O51" s="34">
        <f t="shared" si="24"/>
        <v>3.33</v>
      </c>
      <c r="P51" s="34">
        <f t="shared" si="24"/>
        <v>3.69</v>
      </c>
      <c r="Q51" s="34">
        <f t="shared" si="24"/>
        <v>2.75</v>
      </c>
    </row>
    <row r="52" spans="1:17">
      <c r="A52" s="6" t="s">
        <v>25</v>
      </c>
      <c r="B52" s="57">
        <f t="shared" ref="B52:D52" si="25">-B24</f>
        <v>0</v>
      </c>
      <c r="C52" s="57">
        <f t="shared" si="25"/>
        <v>0</v>
      </c>
      <c r="D52" s="57">
        <f t="shared" si="25"/>
        <v>0</v>
      </c>
      <c r="E52" s="57">
        <v>-1.9</v>
      </c>
      <c r="F52" s="57">
        <v>-12.1</v>
      </c>
      <c r="G52" s="58">
        <v>-84.3</v>
      </c>
      <c r="H52" s="45"/>
      <c r="I52" s="1"/>
      <c r="J52" s="35" t="s">
        <v>54</v>
      </c>
      <c r="K52" s="33" t="e">
        <f t="shared" ref="K52:Q52" si="26">(K6*1000000)/B58</f>
        <v>#DIV/0!</v>
      </c>
      <c r="L52" s="33" t="e">
        <f t="shared" si="26"/>
        <v>#DIV/0!</v>
      </c>
      <c r="M52" s="33" t="e">
        <f t="shared" si="26"/>
        <v>#DIV/0!</v>
      </c>
      <c r="N52" s="33">
        <f t="shared" si="26"/>
        <v>13.702838219913062</v>
      </c>
      <c r="O52" s="33">
        <f t="shared" si="26"/>
        <v>16.828579463247344</v>
      </c>
      <c r="P52" s="33">
        <f t="shared" si="26"/>
        <v>19.774887316883845</v>
      </c>
      <c r="Q52" s="33">
        <f t="shared" si="26"/>
        <v>21.733096944822702</v>
      </c>
    </row>
    <row r="53" spans="1:17">
      <c r="A53" s="3" t="s">
        <v>26</v>
      </c>
      <c r="B53" s="46">
        <f t="shared" ref="B53:G53" si="27">SUM(B48:B52)</f>
        <v>0</v>
      </c>
      <c r="C53" s="46">
        <f t="shared" si="27"/>
        <v>0</v>
      </c>
      <c r="D53" s="46">
        <f t="shared" si="27"/>
        <v>-225.40800000000007</v>
      </c>
      <c r="E53" s="46">
        <f t="shared" si="27"/>
        <v>70.525000000000162</v>
      </c>
      <c r="F53" s="46">
        <f t="shared" si="27"/>
        <v>-87.160999999998324</v>
      </c>
      <c r="G53" s="47">
        <f t="shared" si="27"/>
        <v>-179.82500000000101</v>
      </c>
      <c r="H53" s="43"/>
      <c r="I53" s="1"/>
      <c r="J53" s="7" t="s">
        <v>55</v>
      </c>
      <c r="K53" s="40"/>
      <c r="L53" s="56"/>
      <c r="M53" s="56"/>
      <c r="N53" s="56">
        <v>0.2</v>
      </c>
      <c r="O53" s="56">
        <v>0.6</v>
      </c>
      <c r="P53" s="41">
        <v>0.7</v>
      </c>
      <c r="Q53" s="41">
        <v>0.3</v>
      </c>
    </row>
    <row r="54" spans="1:17">
      <c r="A54" s="6" t="s">
        <v>27</v>
      </c>
      <c r="B54" s="81"/>
      <c r="C54" s="57">
        <f t="shared" ref="C54:D54" si="28">-(L15-K15)</f>
        <v>0</v>
      </c>
      <c r="D54" s="57">
        <f t="shared" si="28"/>
        <v>-365.94900000000001</v>
      </c>
      <c r="E54" s="57">
        <v>-156.4</v>
      </c>
      <c r="F54" s="57">
        <v>-376</v>
      </c>
      <c r="G54" s="58">
        <v>-223.2</v>
      </c>
      <c r="H54" s="45"/>
      <c r="I54" s="1"/>
      <c r="J54" s="7" t="s">
        <v>56</v>
      </c>
      <c r="K54" s="33" t="e">
        <f t="shared" ref="K54:P54" si="29">(K50/K51)</f>
        <v>#DIV/0!</v>
      </c>
      <c r="L54" s="33" t="e">
        <f t="shared" si="29"/>
        <v>#DIV/0!</v>
      </c>
      <c r="M54" s="33" t="e">
        <f t="shared" si="29"/>
        <v>#DIV/0!</v>
      </c>
      <c r="N54" s="33">
        <f t="shared" si="29"/>
        <v>50.531914893617021</v>
      </c>
      <c r="O54" s="33">
        <f t="shared" si="29"/>
        <v>18.903903903903906</v>
      </c>
      <c r="P54" s="33">
        <f t="shared" si="29"/>
        <v>42.344173441734419</v>
      </c>
      <c r="Q54" s="33">
        <f t="shared" ref="Q54" si="30">(Q50/Q51)</f>
        <v>29.690909090909091</v>
      </c>
    </row>
    <row r="55" spans="1:17">
      <c r="A55" s="26" t="s">
        <v>28</v>
      </c>
      <c r="B55" s="55"/>
      <c r="C55" s="46">
        <f t="shared" ref="C55:G55" si="31">SUM(C53:C54)</f>
        <v>0</v>
      </c>
      <c r="D55" s="46">
        <f t="shared" si="31"/>
        <v>-591.35700000000008</v>
      </c>
      <c r="E55" s="46">
        <f t="shared" si="31"/>
        <v>-85.874999999999844</v>
      </c>
      <c r="F55" s="46">
        <f t="shared" si="31"/>
        <v>-463.16099999999835</v>
      </c>
      <c r="G55" s="47">
        <f t="shared" si="31"/>
        <v>-403.025000000001</v>
      </c>
      <c r="H55" s="43"/>
      <c r="I55" s="1"/>
      <c r="J55" s="7" t="s">
        <v>57</v>
      </c>
      <c r="K55" s="33" t="e">
        <f t="shared" ref="K55:P55" si="32">(K50/K52)</f>
        <v>#DIV/0!</v>
      </c>
      <c r="L55" s="33" t="e">
        <f t="shared" si="32"/>
        <v>#DIV/0!</v>
      </c>
      <c r="M55" s="33" t="e">
        <f t="shared" si="32"/>
        <v>#DIV/0!</v>
      </c>
      <c r="N55" s="33">
        <f t="shared" si="32"/>
        <v>1.7332175728008181</v>
      </c>
      <c r="O55" s="33">
        <f t="shared" si="32"/>
        <v>3.7406603532686287</v>
      </c>
      <c r="P55" s="33">
        <f t="shared" si="32"/>
        <v>7.9014356691981442</v>
      </c>
      <c r="Q55" s="33">
        <f t="shared" ref="Q55" si="33">(Q50/Q52)</f>
        <v>3.7569427038998611</v>
      </c>
    </row>
    <row r="56" spans="1:17">
      <c r="A56" s="1" t="s">
        <v>29</v>
      </c>
      <c r="B56" s="10"/>
      <c r="C56" s="10"/>
      <c r="D56" s="10"/>
      <c r="E56" s="10"/>
      <c r="F56" s="1"/>
      <c r="G56" s="10"/>
      <c r="H56" s="10"/>
      <c r="I56" s="1"/>
      <c r="J56" s="7" t="s">
        <v>58</v>
      </c>
      <c r="K56" s="33" t="e">
        <f t="shared" ref="K56:Q56" si="34">B62/B16</f>
        <v>#DIV/0!</v>
      </c>
      <c r="L56" s="33" t="e">
        <f t="shared" si="34"/>
        <v>#DIV/0!</v>
      </c>
      <c r="M56" s="33" t="e">
        <f t="shared" si="34"/>
        <v>#DIV/0!</v>
      </c>
      <c r="N56" s="33">
        <f t="shared" si="34"/>
        <v>19.708032356525273</v>
      </c>
      <c r="O56" s="33">
        <f t="shared" si="34"/>
        <v>14.647789046786066</v>
      </c>
      <c r="P56" s="33">
        <f t="shared" si="34"/>
        <v>22.136130970196966</v>
      </c>
      <c r="Q56" s="33">
        <f t="shared" si="34"/>
        <v>4.1678668535666503</v>
      </c>
    </row>
    <row r="57" spans="1:17">
      <c r="A57" s="1"/>
      <c r="B57" s="10"/>
      <c r="C57" s="10"/>
      <c r="D57" s="10"/>
      <c r="E57" s="10"/>
      <c r="F57" s="1"/>
      <c r="G57" s="10"/>
      <c r="H57" s="10"/>
      <c r="I57" s="1"/>
      <c r="J57" s="8" t="s">
        <v>59</v>
      </c>
      <c r="K57" s="54" t="e">
        <f t="shared" ref="K57:Q57" si="35">(B26/K6)</f>
        <v>#DIV/0!</v>
      </c>
      <c r="L57" s="54" t="e">
        <f t="shared" si="35"/>
        <v>#DIV/0!</v>
      </c>
      <c r="M57" s="54">
        <f t="shared" si="35"/>
        <v>0</v>
      </c>
      <c r="N57" s="54">
        <f t="shared" si="35"/>
        <v>3.4857718044868168E-2</v>
      </c>
      <c r="O57" s="54">
        <f t="shared" si="35"/>
        <v>0.19958670764295922</v>
      </c>
      <c r="P57" s="54">
        <f t="shared" si="35"/>
        <v>0.18741287153344557</v>
      </c>
      <c r="Q57" s="54">
        <f t="shared" si="35"/>
        <v>0.12683332005871245</v>
      </c>
    </row>
    <row r="58" spans="1:17">
      <c r="A58" s="6" t="s">
        <v>74</v>
      </c>
      <c r="B58" s="59"/>
      <c r="C58" s="59"/>
      <c r="D58" s="59"/>
      <c r="E58" s="59">
        <v>68368099</v>
      </c>
      <c r="F58" s="59">
        <v>68467514</v>
      </c>
      <c r="G58" s="59">
        <v>68704614</v>
      </c>
      <c r="H58" s="91">
        <v>68746714</v>
      </c>
      <c r="I58" s="1"/>
      <c r="J58" s="8" t="s">
        <v>60</v>
      </c>
      <c r="K58" s="54" t="e">
        <f>(B23+B21)/K11</f>
        <v>#DIV/0!</v>
      </c>
      <c r="L58" s="54" t="e">
        <f>(C23+C21)/L11</f>
        <v>#DIV/0!</v>
      </c>
      <c r="M58" s="54">
        <f>(D16-D20)/M11</f>
        <v>0</v>
      </c>
      <c r="N58" s="54">
        <f>(E16-E20)/N11</f>
        <v>9.9821732710358532E-2</v>
      </c>
      <c r="O58" s="54">
        <f t="shared" ref="O58:Q58" si="36">(F16-F20)/O11</f>
        <v>0.26522579071254915</v>
      </c>
      <c r="P58" s="54">
        <f t="shared" si="36"/>
        <v>0.3406582445508104</v>
      </c>
      <c r="Q58" s="54">
        <f t="shared" si="36"/>
        <v>0.27123671940547939</v>
      </c>
    </row>
    <row r="59" spans="1:17">
      <c r="A59" s="6" t="s">
        <v>75</v>
      </c>
      <c r="B59" s="57">
        <f t="shared" ref="B59:G59" si="37">B58*K50/1000000</f>
        <v>0</v>
      </c>
      <c r="C59" s="57">
        <f t="shared" si="37"/>
        <v>0</v>
      </c>
      <c r="D59" s="57">
        <f t="shared" si="37"/>
        <v>0</v>
      </c>
      <c r="E59" s="57">
        <f t="shared" si="37"/>
        <v>1623.74235125</v>
      </c>
      <c r="F59" s="57">
        <f t="shared" si="37"/>
        <v>4310.0300063000004</v>
      </c>
      <c r="G59" s="58">
        <f t="shared" si="37"/>
        <v>10735.0959375</v>
      </c>
      <c r="H59" s="58">
        <f t="shared" ref="H59" si="38">H58*Q51/1000000</f>
        <v>189.05346349999999</v>
      </c>
      <c r="I59" s="1"/>
      <c r="J59" s="7" t="s">
        <v>61</v>
      </c>
      <c r="K59" s="32" t="e">
        <f t="shared" ref="K59:P59" si="39">(K10/K6)</f>
        <v>#DIV/0!</v>
      </c>
      <c r="L59" s="32" t="e">
        <f t="shared" si="39"/>
        <v>#DIV/0!</v>
      </c>
      <c r="M59" s="32">
        <f t="shared" si="39"/>
        <v>0.91349965804647237</v>
      </c>
      <c r="N59" s="32">
        <f t="shared" si="39"/>
        <v>1.0447356370425165</v>
      </c>
      <c r="O59" s="32">
        <f t="shared" si="39"/>
        <v>1.3503776652019466</v>
      </c>
      <c r="P59" s="32">
        <f t="shared" si="39"/>
        <v>1.47352545880912</v>
      </c>
      <c r="Q59" s="32">
        <f t="shared" ref="Q59" si="40">(Q10/Q6)</f>
        <v>1.3863671198109337</v>
      </c>
    </row>
    <row r="60" spans="1:17">
      <c r="A60" s="6" t="s">
        <v>78</v>
      </c>
      <c r="B60" s="57">
        <f t="shared" ref="B60:G60" si="41">K10</f>
        <v>0</v>
      </c>
      <c r="C60" s="57">
        <f t="shared" si="41"/>
        <v>0</v>
      </c>
      <c r="D60" s="57">
        <f t="shared" si="41"/>
        <v>821.46</v>
      </c>
      <c r="E60" s="58">
        <f t="shared" si="41"/>
        <v>978.74700000000007</v>
      </c>
      <c r="F60" s="58">
        <f t="shared" si="41"/>
        <v>1555.92</v>
      </c>
      <c r="G60" s="58">
        <f t="shared" si="41"/>
        <v>2001.9699999999998</v>
      </c>
      <c r="H60" s="58">
        <f>Q10</f>
        <v>2071.3420000000001</v>
      </c>
      <c r="I60" s="1"/>
      <c r="J60" s="7" t="s">
        <v>62</v>
      </c>
      <c r="K60" s="32" t="e">
        <f t="shared" ref="K60:P60" si="42">(K10-K27)/K6</f>
        <v>#DIV/0!</v>
      </c>
      <c r="L60" s="32" t="e">
        <f t="shared" si="42"/>
        <v>#DIV/0!</v>
      </c>
      <c r="M60" s="32">
        <f t="shared" si="42"/>
        <v>0.89892743356927196</v>
      </c>
      <c r="N60" s="32">
        <f t="shared" si="42"/>
        <v>0.99434800290765635</v>
      </c>
      <c r="O60" s="32">
        <f t="shared" si="42"/>
        <v>1.2815560691574721</v>
      </c>
      <c r="P60" s="32">
        <f t="shared" si="42"/>
        <v>1.4070480029088208</v>
      </c>
      <c r="Q60" s="32">
        <f t="shared" ref="Q60" si="43">(Q10-Q27)/Q6</f>
        <v>1.3167677211178259</v>
      </c>
    </row>
    <row r="61" spans="1:17">
      <c r="A61" s="6" t="s">
        <v>76</v>
      </c>
      <c r="B61" s="57">
        <f t="shared" ref="B61:G61" si="44">K27</f>
        <v>0</v>
      </c>
      <c r="C61" s="57">
        <f t="shared" si="44"/>
        <v>0</v>
      </c>
      <c r="D61" s="57">
        <f t="shared" si="44"/>
        <v>13.103999999999999</v>
      </c>
      <c r="E61" s="57">
        <f t="shared" si="44"/>
        <v>47.204999999999998</v>
      </c>
      <c r="F61" s="57">
        <f t="shared" si="44"/>
        <v>79.296999999999997</v>
      </c>
      <c r="G61" s="58">
        <f t="shared" si="44"/>
        <v>90.317999999999998</v>
      </c>
      <c r="H61" s="58">
        <f>Q27</f>
        <v>103.98700000000001</v>
      </c>
      <c r="I61" s="1"/>
      <c r="J61" s="7" t="s">
        <v>63</v>
      </c>
      <c r="K61" s="68" t="e">
        <f t="shared" ref="K61:P61" si="45">(K53/K50)</f>
        <v>#DIV/0!</v>
      </c>
      <c r="L61" s="68" t="e">
        <f t="shared" si="45"/>
        <v>#DIV/0!</v>
      </c>
      <c r="M61" s="68" t="e">
        <f t="shared" si="45"/>
        <v>#DIV/0!</v>
      </c>
      <c r="N61" s="68">
        <f t="shared" si="45"/>
        <v>8.4210526315789472E-3</v>
      </c>
      <c r="O61" s="68">
        <f t="shared" si="45"/>
        <v>9.5313741064336766E-3</v>
      </c>
      <c r="P61" s="37">
        <f t="shared" si="45"/>
        <v>4.4799999999999996E-3</v>
      </c>
      <c r="Q61" s="37">
        <f t="shared" ref="Q61" si="46">(Q53/Q50)</f>
        <v>3.6742192284139616E-3</v>
      </c>
    </row>
    <row r="62" spans="1:17">
      <c r="A62" s="6" t="s">
        <v>77</v>
      </c>
      <c r="B62" s="46">
        <f t="shared" ref="B62:H62" si="47">B59+B60-B61</f>
        <v>0</v>
      </c>
      <c r="C62" s="46">
        <f t="shared" si="47"/>
        <v>0</v>
      </c>
      <c r="D62" s="46">
        <f t="shared" si="47"/>
        <v>808.35599999999999</v>
      </c>
      <c r="E62" s="46">
        <f t="shared" si="47"/>
        <v>2555.2843512500003</v>
      </c>
      <c r="F62" s="46">
        <f t="shared" si="47"/>
        <v>5786.6530063000009</v>
      </c>
      <c r="G62" s="46">
        <f t="shared" si="47"/>
        <v>12646.7479375</v>
      </c>
      <c r="H62" s="46">
        <f t="shared" si="47"/>
        <v>2156.4084634999999</v>
      </c>
      <c r="I62" s="1"/>
      <c r="J62" s="7" t="s">
        <v>64</v>
      </c>
      <c r="K62" s="7"/>
      <c r="L62" s="69" t="e">
        <f>(AVERAGE(K26:L26)/C6*365)</f>
        <v>#DIV/0!</v>
      </c>
      <c r="M62" s="69" t="e">
        <f>(AVERAGE(L26:M26)/D6*365)</f>
        <v>#DIV/0!</v>
      </c>
      <c r="N62" s="69">
        <f t="shared" ref="N62:O62" si="48">(AVERAGE(M26:N26)/E6*365)</f>
        <v>26.882767626814232</v>
      </c>
      <c r="O62" s="69">
        <f t="shared" si="48"/>
        <v>30.768380091771618</v>
      </c>
      <c r="P62" s="69">
        <f>(AVERAGE(O26:P26)/G6*365)</f>
        <v>38.079535325750484</v>
      </c>
      <c r="Q62" s="69">
        <f>(AVERAGE(P26:Q26)/H6*365)</f>
        <v>36.205089160212133</v>
      </c>
    </row>
    <row r="63" spans="1:17">
      <c r="A63" s="1"/>
      <c r="B63" s="10"/>
      <c r="C63" s="10"/>
      <c r="D63" s="10"/>
      <c r="E63" s="10"/>
      <c r="F63" s="1"/>
      <c r="G63" s="10"/>
      <c r="H63" s="10"/>
      <c r="I63" s="1"/>
      <c r="J63" s="7" t="s">
        <v>65</v>
      </c>
      <c r="K63" s="7"/>
      <c r="L63" s="69" t="e">
        <f>AVERAGE(K35:L35)/(C10+C11)*365</f>
        <v>#DIV/0!</v>
      </c>
      <c r="M63" s="69" t="e">
        <f>AVERAGE(L35:M35)/(D10+D11)*365</f>
        <v>#DIV/0!</v>
      </c>
      <c r="N63" s="69">
        <f>AVERAGE(M35:N35)/(E10+E11)*365</f>
        <v>13.49919278197375</v>
      </c>
      <c r="O63" s="69">
        <f>AVERAGE(N35:O35)/(F10+F11)*365</f>
        <v>9.3054008594988034</v>
      </c>
      <c r="P63" s="69">
        <f>AVERAGE(O35:P35)/(G10+G11+G12)*365</f>
        <v>17.869703579889023</v>
      </c>
      <c r="Q63" s="69">
        <f>AVERAGE(P35:Q35)/(H10+H11+H12)*365</f>
        <v>32.503639458092124</v>
      </c>
    </row>
    <row r="64" spans="1:17">
      <c r="A64" s="1"/>
      <c r="B64" s="10"/>
      <c r="C64" s="10"/>
      <c r="D64" s="10"/>
      <c r="E64" s="10"/>
      <c r="F64" s="1"/>
      <c r="G64" s="10"/>
      <c r="H64" s="10"/>
      <c r="I64" s="1"/>
      <c r="J64" s="7" t="s">
        <v>66</v>
      </c>
      <c r="K64" s="12"/>
      <c r="L64" s="70" t="e">
        <f>(AVERAGE(K25:L25)/(C10+C11)*365)</f>
        <v>#DIV/0!</v>
      </c>
      <c r="M64" s="70" t="e">
        <f>(AVERAGE(L25:M25)/(D10+D11)*365)</f>
        <v>#DIV/0!</v>
      </c>
      <c r="N64" s="70">
        <f t="shared" ref="N64:O64" si="49">(AVERAGE(M25:N25)/(E10+E11+E12+E13)*365)</f>
        <v>63.168427370403222</v>
      </c>
      <c r="O64" s="70">
        <f t="shared" si="49"/>
        <v>53.258209621901166</v>
      </c>
      <c r="P64" s="70">
        <f>(AVERAGE(O25:P25)/(G10+G11+G12+G13)*365)</f>
        <v>57.357219129931956</v>
      </c>
      <c r="Q64" s="70">
        <f>(AVERAGE(P25:Q25)/(H10+H11+H12+H13)*365)</f>
        <v>50.41321295682566</v>
      </c>
    </row>
    <row r="65" spans="1:17">
      <c r="A65" s="1"/>
      <c r="B65" s="10"/>
      <c r="C65" s="10"/>
      <c r="D65" s="10"/>
      <c r="E65" s="10"/>
      <c r="F65" s="1"/>
      <c r="G65" s="10"/>
      <c r="H65" s="10"/>
      <c r="I65" s="1"/>
      <c r="J65" s="7" t="s">
        <v>82</v>
      </c>
      <c r="K65" s="71"/>
      <c r="L65" s="70" t="e">
        <f t="shared" ref="L65:Q65" si="50">(L64+L62-L63)</f>
        <v>#DIV/0!</v>
      </c>
      <c r="M65" s="70" t="e">
        <f t="shared" si="50"/>
        <v>#DIV/0!</v>
      </c>
      <c r="N65" s="70">
        <f t="shared" si="50"/>
        <v>76.552002215243704</v>
      </c>
      <c r="O65" s="70">
        <f t="shared" si="50"/>
        <v>74.721188854173988</v>
      </c>
      <c r="P65" s="70">
        <f t="shared" si="50"/>
        <v>77.567050875793413</v>
      </c>
      <c r="Q65" s="70">
        <f t="shared" si="50"/>
        <v>54.114662658945662</v>
      </c>
    </row>
    <row r="66" spans="1:17">
      <c r="A66" s="1"/>
      <c r="B66" s="10"/>
      <c r="C66" s="10"/>
      <c r="D66" s="10"/>
      <c r="E66" s="10"/>
      <c r="F66" s="1"/>
      <c r="G66" s="10"/>
      <c r="H66" s="10"/>
      <c r="I66" s="1"/>
      <c r="J66" s="7" t="s">
        <v>67</v>
      </c>
      <c r="K66" s="71"/>
      <c r="L66" s="70" t="e">
        <f>AVERAGE(K41:L41)/C6*365</f>
        <v>#DIV/0!</v>
      </c>
      <c r="M66" s="70" t="e">
        <f>AVERAGE(L41:M41)/D6*365</f>
        <v>#DIV/0!</v>
      </c>
      <c r="N66" s="70">
        <f t="shared" ref="N66:O66" si="51">AVERAGE(M41:N41)/E6*365</f>
        <v>25.346946976798943</v>
      </c>
      <c r="O66" s="70">
        <f t="shared" si="51"/>
        <v>18.813351114598063</v>
      </c>
      <c r="P66" s="70">
        <f>AVERAGE(O41:P41)/G6*365</f>
        <v>13.996325315338215</v>
      </c>
      <c r="Q66" s="70">
        <f>AVERAGE(P41:Q41)/H6*365</f>
        <v>9.4004043747660386</v>
      </c>
    </row>
    <row r="67" spans="1:17">
      <c r="A67" s="1"/>
      <c r="B67" s="10"/>
      <c r="C67" s="10"/>
      <c r="D67" s="10"/>
      <c r="E67" s="10"/>
      <c r="F67" s="1"/>
      <c r="G67" s="10"/>
      <c r="H67" s="10"/>
      <c r="I67" s="1"/>
      <c r="J67" s="23" t="s">
        <v>88</v>
      </c>
      <c r="K67" s="23"/>
      <c r="L67" s="37" t="e">
        <f t="shared" ref="L67:Q67" si="52">C21/L10</f>
        <v>#DIV/0!</v>
      </c>
      <c r="M67" s="37">
        <f t="shared" si="52"/>
        <v>0</v>
      </c>
      <c r="N67" s="37">
        <f t="shared" si="52"/>
        <v>6.9712601928792625E-2</v>
      </c>
      <c r="O67" s="37">
        <f t="shared" si="52"/>
        <v>5.0449251889557303E-2</v>
      </c>
      <c r="P67" s="37">
        <f t="shared" si="52"/>
        <v>7.9801395625309079E-2</v>
      </c>
      <c r="Q67" s="37">
        <f t="shared" si="52"/>
        <v>0.1004624055322588</v>
      </c>
    </row>
  </sheetData>
  <mergeCells count="3">
    <mergeCell ref="A1:Q1"/>
    <mergeCell ref="A2:H2"/>
    <mergeCell ref="J2:Q2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view="pageBreakPreview" topLeftCell="H21" zoomScale="130" zoomScaleNormal="100" zoomScaleSheetLayoutView="130" workbookViewId="0">
      <selection activeCell="W29" sqref="W29"/>
    </sheetView>
  </sheetViews>
  <sheetFormatPr defaultColWidth="8.81640625" defaultRowHeight="14.5"/>
  <cols>
    <col min="1" max="1" width="82.81640625" bestFit="1" customWidth="1"/>
    <col min="2" max="4" width="9" hidden="1" customWidth="1"/>
    <col min="5" max="7" width="15.453125" bestFit="1" customWidth="1"/>
    <col min="8" max="9" width="14.1796875" bestFit="1" customWidth="1"/>
    <col min="10" max="10" width="12.81640625" bestFit="1" customWidth="1"/>
    <col min="11" max="11" width="14.1796875" customWidth="1"/>
    <col min="12" max="12" width="0" hidden="1" customWidth="1"/>
    <col min="13" max="13" width="35" bestFit="1" customWidth="1"/>
    <col min="14" max="16" width="0" hidden="1" customWidth="1"/>
    <col min="17" max="17" width="13" hidden="1" customWidth="1"/>
    <col min="18" max="19" width="10.453125" bestFit="1" customWidth="1"/>
    <col min="20" max="20" width="10" bestFit="1" customWidth="1"/>
    <col min="21" max="21" width="11.7265625" bestFit="1" customWidth="1"/>
    <col min="22" max="22" width="9.81640625" bestFit="1" customWidth="1"/>
  </cols>
  <sheetData>
    <row r="1" spans="1:22" ht="15.5">
      <c r="A1" s="438" t="s">
        <v>159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173"/>
    </row>
    <row r="2" spans="1:22" ht="15.5">
      <c r="A2" s="433" t="s">
        <v>97</v>
      </c>
      <c r="B2" s="434"/>
      <c r="C2" s="434"/>
      <c r="D2" s="434"/>
      <c r="E2" s="434"/>
      <c r="F2" s="434"/>
      <c r="G2" s="434"/>
      <c r="H2" s="435"/>
      <c r="I2" s="174"/>
      <c r="J2" s="174"/>
      <c r="K2" s="175"/>
      <c r="L2" s="99"/>
      <c r="M2" s="436" t="s">
        <v>96</v>
      </c>
      <c r="N2" s="437"/>
      <c r="O2" s="437"/>
      <c r="P2" s="437"/>
      <c r="Q2" s="437"/>
      <c r="R2" s="437"/>
      <c r="S2" s="437"/>
      <c r="T2" s="437"/>
      <c r="U2" s="176"/>
    </row>
    <row r="3" spans="1:22" ht="15.5">
      <c r="A3" s="177" t="s">
        <v>0</v>
      </c>
      <c r="B3" s="178" t="s">
        <v>30</v>
      </c>
      <c r="C3" s="178" t="s">
        <v>31</v>
      </c>
      <c r="D3" s="178" t="s">
        <v>32</v>
      </c>
      <c r="E3" s="178" t="s">
        <v>33</v>
      </c>
      <c r="F3" s="178" t="s">
        <v>34</v>
      </c>
      <c r="G3" s="100" t="s">
        <v>87</v>
      </c>
      <c r="H3" s="100" t="s">
        <v>133</v>
      </c>
      <c r="I3" s="163" t="s">
        <v>166</v>
      </c>
      <c r="J3" s="163" t="s">
        <v>170</v>
      </c>
      <c r="K3" s="179"/>
      <c r="L3" s="206"/>
      <c r="M3" s="101" t="s">
        <v>0</v>
      </c>
      <c r="N3" s="163" t="s">
        <v>30</v>
      </c>
      <c r="O3" s="163" t="s">
        <v>31</v>
      </c>
      <c r="P3" s="163" t="s">
        <v>32</v>
      </c>
      <c r="Q3" s="163" t="s">
        <v>33</v>
      </c>
      <c r="R3" s="163" t="s">
        <v>34</v>
      </c>
      <c r="S3" s="164" t="s">
        <v>87</v>
      </c>
      <c r="T3" s="144" t="s">
        <v>133</v>
      </c>
      <c r="U3" s="163" t="s">
        <v>166</v>
      </c>
      <c r="V3" s="163" t="s">
        <v>170</v>
      </c>
    </row>
    <row r="4" spans="1:22" ht="15.5">
      <c r="A4" s="101" t="s">
        <v>1</v>
      </c>
      <c r="B4" s="128"/>
      <c r="C4" s="128"/>
      <c r="D4" s="128"/>
      <c r="E4" s="128">
        <v>3697.7730000000001</v>
      </c>
      <c r="F4" s="128">
        <v>5576.8119999999999</v>
      </c>
      <c r="G4" s="156">
        <v>7965.7079999999996</v>
      </c>
      <c r="H4" s="156">
        <v>10593.555</v>
      </c>
      <c r="I4" s="158">
        <v>11723.875</v>
      </c>
      <c r="J4" s="158">
        <f>51021.33/10</f>
        <v>5102.1329999999998</v>
      </c>
      <c r="K4" s="180"/>
      <c r="L4" s="207"/>
      <c r="M4" s="102" t="s">
        <v>35</v>
      </c>
      <c r="N4" s="113"/>
      <c r="O4" s="113"/>
      <c r="P4" s="113">
        <v>136.50899999999999</v>
      </c>
      <c r="Q4" s="113">
        <v>136.73599999999999</v>
      </c>
      <c r="R4" s="113">
        <v>136.935</v>
      </c>
      <c r="S4" s="103">
        <v>137.40899999999999</v>
      </c>
      <c r="T4" s="103">
        <v>137.49299999999999</v>
      </c>
      <c r="U4" s="181">
        <v>138.07599999999999</v>
      </c>
      <c r="V4" s="181">
        <f>1380.76/10</f>
        <v>138.07599999999999</v>
      </c>
    </row>
    <row r="5" spans="1:22" ht="15.5">
      <c r="A5" s="102" t="s">
        <v>6</v>
      </c>
      <c r="B5" s="113"/>
      <c r="C5" s="113"/>
      <c r="D5" s="113"/>
      <c r="E5" s="113">
        <v>41.061999999999998</v>
      </c>
      <c r="F5" s="113">
        <v>21.215</v>
      </c>
      <c r="G5" s="103">
        <v>13.343999999999999</v>
      </c>
      <c r="H5" s="103">
        <v>121.258</v>
      </c>
      <c r="I5" s="102">
        <v>27.585000000000001</v>
      </c>
      <c r="J5" s="102">
        <f>1346.61/10</f>
        <v>134.661</v>
      </c>
      <c r="K5" s="114"/>
      <c r="L5" s="104"/>
      <c r="M5" s="102" t="s">
        <v>36</v>
      </c>
      <c r="N5" s="113"/>
      <c r="O5" s="113"/>
      <c r="P5" s="113">
        <v>762.73599999999999</v>
      </c>
      <c r="Q5" s="113">
        <v>800.101</v>
      </c>
      <c r="R5" s="113">
        <v>1015.276</v>
      </c>
      <c r="S5" s="103">
        <v>1221.2170000000001</v>
      </c>
      <c r="T5" s="113">
        <v>1356.586</v>
      </c>
      <c r="U5" s="182">
        <v>1503.441</v>
      </c>
      <c r="V5" s="182">
        <f>16074.8/10</f>
        <v>1607.48</v>
      </c>
    </row>
    <row r="6" spans="1:22" ht="15.5">
      <c r="A6" s="105" t="s">
        <v>95</v>
      </c>
      <c r="B6" s="106">
        <f t="shared" ref="B6:H6" si="0">B4+B5</f>
        <v>0</v>
      </c>
      <c r="C6" s="106">
        <f t="shared" si="0"/>
        <v>0</v>
      </c>
      <c r="D6" s="106">
        <f t="shared" si="0"/>
        <v>0</v>
      </c>
      <c r="E6" s="106">
        <f>E4+E5</f>
        <v>3738.835</v>
      </c>
      <c r="F6" s="106">
        <f t="shared" si="0"/>
        <v>5598.027</v>
      </c>
      <c r="G6" s="106">
        <f t="shared" si="0"/>
        <v>7979.0519999999997</v>
      </c>
      <c r="H6" s="106">
        <f t="shared" si="0"/>
        <v>10714.813</v>
      </c>
      <c r="I6" s="106">
        <f t="shared" ref="I6:J6" si="1">I4+I5</f>
        <v>11751.46</v>
      </c>
      <c r="J6" s="106">
        <f t="shared" si="1"/>
        <v>5236.7939999999999</v>
      </c>
      <c r="K6" s="183"/>
      <c r="L6" s="208"/>
      <c r="M6" s="105" t="s">
        <v>37</v>
      </c>
      <c r="N6" s="106">
        <f t="shared" ref="N6:V6" si="2">(N4+N5)</f>
        <v>0</v>
      </c>
      <c r="O6" s="106">
        <f t="shared" si="2"/>
        <v>0</v>
      </c>
      <c r="P6" s="106">
        <f t="shared" si="2"/>
        <v>899.245</v>
      </c>
      <c r="Q6" s="106">
        <f t="shared" si="2"/>
        <v>936.83699999999999</v>
      </c>
      <c r="R6" s="106">
        <f t="shared" si="2"/>
        <v>1152.211</v>
      </c>
      <c r="S6" s="106">
        <f t="shared" si="2"/>
        <v>1358.6260000000002</v>
      </c>
      <c r="T6" s="106">
        <f t="shared" si="2"/>
        <v>1494.079</v>
      </c>
      <c r="U6" s="203">
        <f t="shared" si="2"/>
        <v>1641.5170000000001</v>
      </c>
      <c r="V6" s="203">
        <f t="shared" si="2"/>
        <v>1745.556</v>
      </c>
    </row>
    <row r="7" spans="1:22" ht="15.5">
      <c r="A7" s="107" t="s">
        <v>2</v>
      </c>
      <c r="B7" s="108"/>
      <c r="C7" s="109" t="e">
        <f>(C6/B6-1)</f>
        <v>#DIV/0!</v>
      </c>
      <c r="D7" s="109" t="e">
        <f>(D6/C6-1)</f>
        <v>#DIV/0!</v>
      </c>
      <c r="E7" s="109"/>
      <c r="F7" s="109">
        <f t="shared" ref="F7:H7" si="3">(F6/E6-1)</f>
        <v>0.4972650571635282</v>
      </c>
      <c r="G7" s="109">
        <f t="shared" si="3"/>
        <v>0.42533288960556992</v>
      </c>
      <c r="H7" s="109">
        <f t="shared" si="3"/>
        <v>0.34286792466072424</v>
      </c>
      <c r="I7" s="109">
        <f>(I6/H6-1)</f>
        <v>9.6748958661247553E-2</v>
      </c>
      <c r="J7" s="109"/>
      <c r="K7" s="184"/>
      <c r="L7" s="209"/>
      <c r="M7" s="102" t="s">
        <v>38</v>
      </c>
      <c r="N7" s="113"/>
      <c r="O7" s="113"/>
      <c r="P7" s="113"/>
      <c r="Q7" s="113"/>
      <c r="R7" s="113"/>
      <c r="S7" s="103"/>
      <c r="T7" s="113"/>
      <c r="U7" s="182"/>
      <c r="V7" s="182"/>
    </row>
    <row r="8" spans="1:22" ht="15.5">
      <c r="A8" s="107" t="s">
        <v>158</v>
      </c>
      <c r="B8" s="108"/>
      <c r="C8" s="110"/>
      <c r="D8" s="110"/>
      <c r="E8" s="110"/>
      <c r="F8" s="109"/>
      <c r="G8" s="109"/>
      <c r="H8" s="200">
        <f>(H6/E6)^(1/3)-1</f>
        <v>0.42041777630745569</v>
      </c>
      <c r="I8" s="200">
        <f>(I6/F6)^(1/3)-1</f>
        <v>0.2804194991965232</v>
      </c>
      <c r="J8" s="200"/>
      <c r="K8" s="185"/>
      <c r="L8" s="210"/>
      <c r="M8" s="102" t="s">
        <v>39</v>
      </c>
      <c r="N8" s="113"/>
      <c r="O8" s="113"/>
      <c r="P8" s="113">
        <v>14.677</v>
      </c>
      <c r="Q8" s="113">
        <v>61.814999999999998</v>
      </c>
      <c r="R8" s="113">
        <v>198.19300000000001</v>
      </c>
      <c r="S8" s="103">
        <v>146.15899999999999</v>
      </c>
      <c r="T8" s="113">
        <v>122.768</v>
      </c>
      <c r="U8" s="182">
        <v>300.00200000000001</v>
      </c>
      <c r="V8" s="182">
        <f>3581.77/10</f>
        <v>358.17700000000002</v>
      </c>
    </row>
    <row r="9" spans="1:22" ht="15.5">
      <c r="A9" s="105" t="s">
        <v>3</v>
      </c>
      <c r="B9" s="106">
        <f t="shared" ref="B9:H9" si="4">SUM(B10:B15)</f>
        <v>0</v>
      </c>
      <c r="C9" s="106">
        <f t="shared" si="4"/>
        <v>0</v>
      </c>
      <c r="D9" s="106">
        <f t="shared" si="4"/>
        <v>0</v>
      </c>
      <c r="E9" s="106">
        <f t="shared" si="4"/>
        <v>3609.1779999999999</v>
      </c>
      <c r="F9" s="106">
        <f t="shared" si="4"/>
        <v>5202.9739999999983</v>
      </c>
      <c r="G9" s="106">
        <f t="shared" si="4"/>
        <v>7407.7350000000006</v>
      </c>
      <c r="H9" s="106">
        <f t="shared" si="4"/>
        <v>10197.423999999999</v>
      </c>
      <c r="I9" s="106">
        <f>SUM(I10:I15)</f>
        <v>11099.99</v>
      </c>
      <c r="J9" s="106">
        <f t="shared" ref="J9" si="5">SUM(J10:J15)</f>
        <v>4924.7459999999992</v>
      </c>
      <c r="K9" s="183"/>
      <c r="L9" s="208"/>
      <c r="M9" s="102" t="s">
        <v>40</v>
      </c>
      <c r="N9" s="113"/>
      <c r="O9" s="113"/>
      <c r="P9" s="113">
        <v>806.78300000000002</v>
      </c>
      <c r="Q9" s="113">
        <v>916.93200000000002</v>
      </c>
      <c r="R9" s="113">
        <v>1357.7270000000001</v>
      </c>
      <c r="S9" s="103">
        <v>1855.8109999999999</v>
      </c>
      <c r="T9" s="113">
        <v>1948.5740000000001</v>
      </c>
      <c r="U9" s="182">
        <v>1842.316</v>
      </c>
      <c r="V9" s="182">
        <f>15960.11/10</f>
        <v>1596.011</v>
      </c>
    </row>
    <row r="10" spans="1:22" ht="15.5">
      <c r="A10" s="102" t="s">
        <v>111</v>
      </c>
      <c r="B10" s="103"/>
      <c r="C10" s="103"/>
      <c r="D10" s="103"/>
      <c r="E10" s="103">
        <v>1817.79</v>
      </c>
      <c r="F10" s="103">
        <v>3527.5729999999999</v>
      </c>
      <c r="G10" s="103">
        <v>6388.2340000000004</v>
      </c>
      <c r="H10" s="103">
        <v>8507.1119999999992</v>
      </c>
      <c r="I10" s="102">
        <v>8906.3670000000002</v>
      </c>
      <c r="J10" s="102">
        <f>38980.32/10</f>
        <v>3898.0320000000002</v>
      </c>
      <c r="K10" s="114"/>
      <c r="L10" s="104"/>
      <c r="M10" s="105" t="s">
        <v>41</v>
      </c>
      <c r="N10" s="106">
        <f t="shared" ref="N10:T10" si="6">(N8+N9)</f>
        <v>0</v>
      </c>
      <c r="O10" s="106">
        <f t="shared" si="6"/>
        <v>0</v>
      </c>
      <c r="P10" s="106">
        <f t="shared" si="6"/>
        <v>821.46</v>
      </c>
      <c r="Q10" s="106">
        <f t="shared" si="6"/>
        <v>978.74700000000007</v>
      </c>
      <c r="R10" s="106">
        <f t="shared" si="6"/>
        <v>1555.92</v>
      </c>
      <c r="S10" s="106">
        <f t="shared" si="6"/>
        <v>2001.9699999999998</v>
      </c>
      <c r="T10" s="106">
        <f t="shared" si="6"/>
        <v>2071.3420000000001</v>
      </c>
      <c r="U10" s="203">
        <f t="shared" ref="U10:V10" si="7">(U8+U9)</f>
        <v>2142.3180000000002</v>
      </c>
      <c r="V10" s="203">
        <f t="shared" si="7"/>
        <v>1954.1880000000001</v>
      </c>
    </row>
    <row r="11" spans="1:22" ht="15.5">
      <c r="A11" s="102" t="s">
        <v>112</v>
      </c>
      <c r="B11" s="103"/>
      <c r="C11" s="103"/>
      <c r="D11" s="103"/>
      <c r="E11" s="103">
        <v>159.37100000000001</v>
      </c>
      <c r="F11" s="103">
        <v>244.16</v>
      </c>
      <c r="G11" s="103">
        <v>96.3</v>
      </c>
      <c r="H11" s="103">
        <v>0</v>
      </c>
      <c r="I11" s="102"/>
      <c r="J11" s="102"/>
      <c r="K11" s="114"/>
      <c r="L11" s="104"/>
      <c r="M11" s="105" t="s">
        <v>42</v>
      </c>
      <c r="N11" s="106">
        <f t="shared" ref="N11:U11" si="8">(N6+N8+N7+SUM(N44:N47))</f>
        <v>0</v>
      </c>
      <c r="O11" s="106">
        <f t="shared" si="8"/>
        <v>0</v>
      </c>
      <c r="P11" s="106">
        <f t="shared" si="8"/>
        <v>920.47199999999998</v>
      </c>
      <c r="Q11" s="106">
        <f t="shared" si="8"/>
        <v>1006.354</v>
      </c>
      <c r="R11" s="106">
        <f t="shared" si="8"/>
        <v>1365.0029999999999</v>
      </c>
      <c r="S11" s="106">
        <f t="shared" si="8"/>
        <v>1533.8980000000004</v>
      </c>
      <c r="T11" s="106">
        <f t="shared" si="8"/>
        <v>1655.5170000000001</v>
      </c>
      <c r="U11" s="203">
        <f t="shared" si="8"/>
        <v>2005.8920000000001</v>
      </c>
      <c r="V11" s="203">
        <f t="shared" ref="V11" si="9">(V6+V8+V7+SUM(V44:V47))</f>
        <v>2175.895</v>
      </c>
    </row>
    <row r="12" spans="1:22" ht="15.5">
      <c r="A12" s="102" t="s">
        <v>113</v>
      </c>
      <c r="B12" s="103"/>
      <c r="C12" s="103"/>
      <c r="D12" s="103"/>
      <c r="E12" s="103">
        <v>1283.3009999999999</v>
      </c>
      <c r="F12" s="103">
        <v>1000.876</v>
      </c>
      <c r="G12" s="103">
        <v>633.03300000000002</v>
      </c>
      <c r="H12" s="103">
        <v>681.75599999999997</v>
      </c>
      <c r="I12" s="102">
        <v>1211.241</v>
      </c>
      <c r="J12" s="102">
        <f>7498.82/10</f>
        <v>749.88199999999995</v>
      </c>
      <c r="K12" s="114"/>
      <c r="L12" s="104"/>
      <c r="M12" s="105" t="s">
        <v>42</v>
      </c>
      <c r="N12" s="111">
        <f t="shared" ref="N12:U12" si="10">N49-N35-N9</f>
        <v>0</v>
      </c>
      <c r="O12" s="111">
        <f t="shared" si="10"/>
        <v>0</v>
      </c>
      <c r="P12" s="111">
        <f t="shared" si="10"/>
        <v>920.47200000000009</v>
      </c>
      <c r="Q12" s="111">
        <f t="shared" si="10"/>
        <v>1006.3540000000005</v>
      </c>
      <c r="R12" s="111">
        <f t="shared" si="10"/>
        <v>1365.0029999999999</v>
      </c>
      <c r="S12" s="111">
        <f t="shared" si="10"/>
        <v>1534.7979999999995</v>
      </c>
      <c r="T12" s="111">
        <f t="shared" si="10"/>
        <v>1655.5170000000003</v>
      </c>
      <c r="U12" s="204">
        <f t="shared" si="10"/>
        <v>2005.8920000000005</v>
      </c>
      <c r="V12" s="204">
        <f t="shared" ref="V12" si="11">V49-V35-V9</f>
        <v>2175.8950000000004</v>
      </c>
    </row>
    <row r="13" spans="1:22" ht="15.5">
      <c r="A13" s="102" t="s">
        <v>114</v>
      </c>
      <c r="B13" s="103"/>
      <c r="C13" s="103"/>
      <c r="D13" s="103"/>
      <c r="E13" s="103">
        <v>42.667999999999999</v>
      </c>
      <c r="F13" s="103">
        <v>-64.474999999999994</v>
      </c>
      <c r="G13" s="103">
        <v>-417.93</v>
      </c>
      <c r="H13" s="103">
        <v>143.85</v>
      </c>
      <c r="I13" s="102">
        <v>72.046000000000006</v>
      </c>
      <c r="J13" s="102">
        <f>-1041.44/10</f>
        <v>-104.14400000000001</v>
      </c>
      <c r="K13" s="114"/>
      <c r="L13" s="104"/>
      <c r="M13" s="102" t="s">
        <v>91</v>
      </c>
      <c r="N13" s="112"/>
      <c r="O13" s="112"/>
      <c r="P13" s="112"/>
      <c r="Q13" s="113">
        <v>467.291</v>
      </c>
      <c r="R13" s="113">
        <v>559.64599999999996</v>
      </c>
      <c r="S13" s="103">
        <v>883.52099999999996</v>
      </c>
      <c r="T13" s="113">
        <v>1194.509</v>
      </c>
      <c r="U13" s="182"/>
      <c r="V13" s="182"/>
    </row>
    <row r="14" spans="1:22" ht="15.5">
      <c r="A14" s="102" t="s">
        <v>115</v>
      </c>
      <c r="B14" s="103"/>
      <c r="C14" s="103"/>
      <c r="D14" s="103"/>
      <c r="E14" s="103">
        <v>153.70699999999999</v>
      </c>
      <c r="F14" s="103">
        <v>247.05600000000001</v>
      </c>
      <c r="G14" s="103">
        <v>356.37299999999999</v>
      </c>
      <c r="H14" s="103">
        <v>449.69900000000001</v>
      </c>
      <c r="I14" s="102">
        <v>437.52600000000001</v>
      </c>
      <c r="J14" s="102">
        <f>2232.09/10</f>
        <v>223.209</v>
      </c>
      <c r="K14" s="114"/>
      <c r="L14" s="104"/>
      <c r="M14" s="102"/>
      <c r="N14" s="112"/>
      <c r="O14" s="112"/>
      <c r="P14" s="112"/>
      <c r="Q14" s="112"/>
      <c r="R14" s="113"/>
      <c r="S14" s="103"/>
      <c r="T14" s="113"/>
      <c r="U14" s="182"/>
      <c r="V14" s="182"/>
    </row>
    <row r="15" spans="1:22" ht="15.5">
      <c r="A15" s="102" t="s">
        <v>70</v>
      </c>
      <c r="B15" s="103"/>
      <c r="C15" s="103"/>
      <c r="D15" s="103"/>
      <c r="E15" s="103">
        <v>152.34100000000001</v>
      </c>
      <c r="F15" s="103">
        <v>247.78399999999999</v>
      </c>
      <c r="G15" s="103">
        <v>351.72500000000002</v>
      </c>
      <c r="H15" s="103">
        <v>415.00700000000001</v>
      </c>
      <c r="I15" s="102">
        <v>472.81</v>
      </c>
      <c r="J15" s="102">
        <f>1577.67/10</f>
        <v>157.767</v>
      </c>
      <c r="K15" s="114"/>
      <c r="L15" s="104"/>
      <c r="M15" s="102" t="s">
        <v>100</v>
      </c>
      <c r="N15" s="113"/>
      <c r="O15" s="113"/>
      <c r="P15" s="113">
        <v>365.94900000000001</v>
      </c>
      <c r="Q15" s="113">
        <v>321.18200000000002</v>
      </c>
      <c r="R15" s="113">
        <v>530.51</v>
      </c>
      <c r="S15" s="103">
        <v>811.78700000000003</v>
      </c>
      <c r="T15" s="113">
        <v>1062.046</v>
      </c>
      <c r="U15" s="182">
        <v>1089.021</v>
      </c>
      <c r="V15" s="182">
        <f>10837.37/10</f>
        <v>1083.7370000000001</v>
      </c>
    </row>
    <row r="16" spans="1:22" ht="15.5">
      <c r="A16" s="105" t="s">
        <v>4</v>
      </c>
      <c r="B16" s="106">
        <f t="shared" ref="B16:D16" si="12">(B6-B9)</f>
        <v>0</v>
      </c>
      <c r="C16" s="106">
        <f t="shared" si="12"/>
        <v>0</v>
      </c>
      <c r="D16" s="106">
        <f t="shared" si="12"/>
        <v>0</v>
      </c>
      <c r="E16" s="106">
        <f t="shared" ref="E16:H16" si="13">(E4-E9)</f>
        <v>88.595000000000255</v>
      </c>
      <c r="F16" s="106">
        <f t="shared" si="13"/>
        <v>373.83800000000156</v>
      </c>
      <c r="G16" s="106">
        <f t="shared" si="13"/>
        <v>557.97299999999905</v>
      </c>
      <c r="H16" s="106">
        <f t="shared" si="13"/>
        <v>396.13100000000122</v>
      </c>
      <c r="I16" s="106">
        <f>(I4-I9)</f>
        <v>623.88500000000022</v>
      </c>
      <c r="J16" s="106">
        <f t="shared" ref="J16" si="14">(J4-J9)</f>
        <v>177.38700000000063</v>
      </c>
      <c r="K16" s="183"/>
      <c r="L16" s="208"/>
      <c r="M16" s="102" t="s">
        <v>101</v>
      </c>
      <c r="N16" s="113"/>
      <c r="O16" s="113"/>
      <c r="P16" s="113">
        <v>29.96</v>
      </c>
      <c r="Q16" s="113">
        <v>122.779</v>
      </c>
      <c r="R16" s="113">
        <v>230.15799999999999</v>
      </c>
      <c r="S16" s="103">
        <v>144.59299999999999</v>
      </c>
      <c r="T16" s="113">
        <v>94.319000000000003</v>
      </c>
      <c r="U16" s="182">
        <v>28.146000000000001</v>
      </c>
      <c r="V16" s="182">
        <f>322.96/10</f>
        <v>32.295999999999999</v>
      </c>
    </row>
    <row r="17" spans="1:22" ht="15.5">
      <c r="A17" s="107" t="s">
        <v>2</v>
      </c>
      <c r="B17" s="108"/>
      <c r="C17" s="109" t="e">
        <f>(C16/B16-1)</f>
        <v>#DIV/0!</v>
      </c>
      <c r="D17" s="109" t="e">
        <f>(D16/C16-1)</f>
        <v>#DIV/0!</v>
      </c>
      <c r="E17" s="109"/>
      <c r="F17" s="109">
        <f>(F16/E16-1)</f>
        <v>3.2196286472148596</v>
      </c>
      <c r="G17" s="109">
        <f>(G16/F16-1)</f>
        <v>0.49255292399380668</v>
      </c>
      <c r="H17" s="109">
        <f>(H16/G16-1)</f>
        <v>-0.29005346136819898</v>
      </c>
      <c r="I17" s="109">
        <f>(I16/H16-1)</f>
        <v>0.57494616679835286</v>
      </c>
      <c r="J17" s="109"/>
      <c r="K17" s="184"/>
      <c r="L17" s="209"/>
      <c r="M17" s="102" t="s">
        <v>163</v>
      </c>
      <c r="N17" s="113"/>
      <c r="O17" s="113"/>
      <c r="P17" s="113"/>
      <c r="Q17" s="113"/>
      <c r="R17" s="113"/>
      <c r="S17" s="103"/>
      <c r="T17" s="113">
        <v>0</v>
      </c>
      <c r="U17" s="182">
        <v>79.867999999999995</v>
      </c>
      <c r="V17" s="182">
        <f>752.76/10</f>
        <v>75.275999999999996</v>
      </c>
    </row>
    <row r="18" spans="1:22" ht="15.5">
      <c r="A18" s="107" t="s">
        <v>158</v>
      </c>
      <c r="B18" s="108"/>
      <c r="C18" s="109"/>
      <c r="D18" s="109"/>
      <c r="E18" s="109"/>
      <c r="F18" s="109"/>
      <c r="G18" s="109"/>
      <c r="H18" s="200">
        <f>(H16/E16)^(1/3)-1</f>
        <v>0.64744100948315086</v>
      </c>
      <c r="I18" s="200">
        <f>(I16/F16)^(1/3)-1</f>
        <v>0.18615205743390772</v>
      </c>
      <c r="J18" s="200"/>
      <c r="K18" s="185"/>
      <c r="L18" s="210"/>
      <c r="M18" s="102" t="s">
        <v>102</v>
      </c>
      <c r="N18" s="113"/>
      <c r="O18" s="113"/>
      <c r="P18" s="113"/>
      <c r="Q18" s="113">
        <v>10.942</v>
      </c>
      <c r="R18" s="113">
        <v>11.581</v>
      </c>
      <c r="S18" s="103">
        <v>12.284000000000001</v>
      </c>
      <c r="T18" s="113">
        <v>9.2940000000000005</v>
      </c>
      <c r="U18" s="182">
        <v>5.5609999999999999</v>
      </c>
      <c r="V18" s="182">
        <f>41.53/10</f>
        <v>4.1530000000000005</v>
      </c>
    </row>
    <row r="19" spans="1:22" ht="15.5">
      <c r="A19" s="105" t="s">
        <v>5</v>
      </c>
      <c r="B19" s="115" t="e">
        <f t="shared" ref="B19:D19" si="15">(B16/B6)</f>
        <v>#DIV/0!</v>
      </c>
      <c r="C19" s="115" t="e">
        <f t="shared" si="15"/>
        <v>#DIV/0!</v>
      </c>
      <c r="D19" s="115" t="e">
        <f t="shared" si="15"/>
        <v>#DIV/0!</v>
      </c>
      <c r="E19" s="115">
        <f>(E16/E4)</f>
        <v>2.3959015331660501E-2</v>
      </c>
      <c r="F19" s="115">
        <f t="shared" ref="F19:H19" si="16">(F16/F4)</f>
        <v>6.7034355829101208E-2</v>
      </c>
      <c r="G19" s="115">
        <f t="shared" si="16"/>
        <v>7.0046880955214413E-2</v>
      </c>
      <c r="H19" s="115">
        <f t="shared" si="16"/>
        <v>3.7393585061860843E-2</v>
      </c>
      <c r="I19" s="115">
        <f>(I16/I4)</f>
        <v>5.3214914010939238E-2</v>
      </c>
      <c r="J19" s="115">
        <f>(J16/J4)</f>
        <v>3.4767223825800039E-2</v>
      </c>
      <c r="K19" s="187"/>
      <c r="L19" s="211"/>
      <c r="M19" s="102" t="s">
        <v>106</v>
      </c>
      <c r="N19" s="113"/>
      <c r="O19" s="113"/>
      <c r="P19" s="113">
        <v>155.33799999999999</v>
      </c>
      <c r="Q19" s="113">
        <v>143.03399999999999</v>
      </c>
      <c r="R19" s="113">
        <v>143.03399999999999</v>
      </c>
      <c r="S19" s="103">
        <v>143.03399999999999</v>
      </c>
      <c r="T19" s="113">
        <v>143.03399999999999</v>
      </c>
      <c r="U19" s="182">
        <v>105.03400000000001</v>
      </c>
      <c r="V19" s="182">
        <f>1008.34/10</f>
        <v>100.834</v>
      </c>
    </row>
    <row r="20" spans="1:22" ht="15.5">
      <c r="A20" s="102" t="s">
        <v>7</v>
      </c>
      <c r="B20" s="113"/>
      <c r="C20" s="113"/>
      <c r="D20" s="113"/>
      <c r="E20" s="113">
        <v>29.201000000000001</v>
      </c>
      <c r="F20" s="113">
        <v>33.018999999999998</v>
      </c>
      <c r="G20" s="103">
        <v>48.781999999999996</v>
      </c>
      <c r="H20" s="103">
        <v>68.352000000000004</v>
      </c>
      <c r="I20" s="102">
        <v>86.069000000000003</v>
      </c>
      <c r="J20" s="102">
        <f>421.28/10</f>
        <v>42.128</v>
      </c>
      <c r="K20" s="114"/>
      <c r="L20" s="104"/>
      <c r="M20" s="102" t="s">
        <v>107</v>
      </c>
      <c r="N20" s="113"/>
      <c r="O20" s="113"/>
      <c r="P20" s="113">
        <v>42.908999999999999</v>
      </c>
      <c r="Q20" s="113">
        <v>28.696000000000002</v>
      </c>
      <c r="R20" s="113">
        <v>31.428000000000001</v>
      </c>
      <c r="S20" s="103">
        <v>48.052</v>
      </c>
      <c r="T20" s="113">
        <v>59.628999999999998</v>
      </c>
      <c r="U20" s="182">
        <v>85.322999999999993</v>
      </c>
      <c r="V20" s="182">
        <f>1123.29/10</f>
        <v>112.32899999999999</v>
      </c>
    </row>
    <row r="21" spans="1:22" ht="15.5">
      <c r="A21" s="102" t="s">
        <v>125</v>
      </c>
      <c r="B21" s="113"/>
      <c r="C21" s="113"/>
      <c r="D21" s="113"/>
      <c r="E21" s="113">
        <v>68.230999999999995</v>
      </c>
      <c r="F21" s="113">
        <v>78.495000000000005</v>
      </c>
      <c r="G21" s="103">
        <v>159.76</v>
      </c>
      <c r="H21" s="103">
        <v>208.06200000000001</v>
      </c>
      <c r="I21" s="102">
        <v>245.45699999999999</v>
      </c>
      <c r="J21" s="102">
        <f>1155.12/10</f>
        <v>115.51199999999999</v>
      </c>
      <c r="K21" s="114"/>
      <c r="L21" s="104"/>
      <c r="M21" s="102" t="s">
        <v>105</v>
      </c>
      <c r="N21" s="113"/>
      <c r="O21" s="113"/>
      <c r="P21" s="113"/>
      <c r="Q21" s="113">
        <v>0.126</v>
      </c>
      <c r="R21" s="113">
        <v>7.1260000000000003</v>
      </c>
      <c r="S21" s="103">
        <v>0.126</v>
      </c>
      <c r="T21" s="113">
        <v>0.126</v>
      </c>
      <c r="U21" s="182">
        <v>0.126</v>
      </c>
      <c r="V21" s="182">
        <f>1.26/10</f>
        <v>0.126</v>
      </c>
    </row>
    <row r="22" spans="1:22" ht="15.5">
      <c r="A22" s="102" t="s">
        <v>126</v>
      </c>
      <c r="B22" s="113"/>
      <c r="C22" s="113"/>
      <c r="D22" s="113"/>
      <c r="E22" s="113"/>
      <c r="F22" s="113"/>
      <c r="G22" s="103"/>
      <c r="H22" s="103"/>
      <c r="I22" s="102">
        <v>-38.186</v>
      </c>
      <c r="J22" s="96"/>
      <c r="K22" s="114"/>
      <c r="L22" s="104"/>
      <c r="M22" s="102" t="s">
        <v>104</v>
      </c>
      <c r="N22" s="113"/>
      <c r="O22" s="113"/>
      <c r="P22" s="113">
        <v>19.721</v>
      </c>
      <c r="Q22" s="113">
        <v>28.100999999999999</v>
      </c>
      <c r="R22" s="113">
        <v>27.928999999999998</v>
      </c>
      <c r="S22" s="103">
        <v>0</v>
      </c>
      <c r="T22" s="113">
        <v>0</v>
      </c>
      <c r="U22" s="182">
        <v>0</v>
      </c>
      <c r="V22" s="182">
        <v>0</v>
      </c>
    </row>
    <row r="23" spans="1:22" ht="15.5">
      <c r="A23" s="105" t="s">
        <v>8</v>
      </c>
      <c r="B23" s="111">
        <f>(B16-B20-B21-B22)</f>
        <v>0</v>
      </c>
      <c r="C23" s="111">
        <f>(C16-C20-C21-C22)</f>
        <v>0</v>
      </c>
      <c r="D23" s="111">
        <f>(D16-D20-D21-D22)</f>
        <v>0</v>
      </c>
      <c r="E23" s="111">
        <f>(E16-E20-E21-E22)+E5</f>
        <v>32.225000000000257</v>
      </c>
      <c r="F23" s="111">
        <f>(F16-F20-F21-F22)+F5</f>
        <v>283.53900000000152</v>
      </c>
      <c r="G23" s="111">
        <f>(G16-G20-G21-G22)+G5</f>
        <v>362.77499999999907</v>
      </c>
      <c r="H23" s="111">
        <f>(H16-H20-H21-H22)+H5</f>
        <v>240.97500000000122</v>
      </c>
      <c r="I23" s="111">
        <f>(I16-I20-I21+I22)+I5</f>
        <v>281.75800000000027</v>
      </c>
      <c r="J23" s="111">
        <f>(J16-J20-J21+J22)+J5</f>
        <v>154.40800000000064</v>
      </c>
      <c r="K23" s="188"/>
      <c r="L23" s="208"/>
      <c r="M23" s="102" t="s">
        <v>127</v>
      </c>
      <c r="N23" s="113"/>
      <c r="O23" s="113"/>
      <c r="P23" s="113"/>
      <c r="Q23" s="113">
        <v>12.331</v>
      </c>
      <c r="R23" s="113">
        <v>6.0119999999999996</v>
      </c>
      <c r="S23" s="103">
        <v>5.6340000000000003</v>
      </c>
      <c r="T23" s="103">
        <v>0</v>
      </c>
      <c r="U23" s="181">
        <v>0</v>
      </c>
      <c r="V23" s="181">
        <v>0</v>
      </c>
    </row>
    <row r="24" spans="1:22" ht="15.5">
      <c r="A24" s="102" t="s">
        <v>9</v>
      </c>
      <c r="B24" s="113"/>
      <c r="C24" s="113"/>
      <c r="D24" s="113"/>
      <c r="E24" s="113">
        <v>-0.43099999999999999</v>
      </c>
      <c r="F24" s="113">
        <v>53.573</v>
      </c>
      <c r="G24" s="103">
        <v>108.151</v>
      </c>
      <c r="H24" s="103">
        <f>44.069+7.377</f>
        <v>51.446000000000005</v>
      </c>
      <c r="I24" s="103">
        <f>61.023-3.536</f>
        <v>57.487000000000002</v>
      </c>
      <c r="J24" s="103">
        <f>557.13/10</f>
        <v>55.713000000000001</v>
      </c>
      <c r="K24" s="150"/>
      <c r="L24" s="212"/>
      <c r="M24" s="102" t="s">
        <v>103</v>
      </c>
      <c r="N24" s="113"/>
      <c r="O24" s="113"/>
      <c r="P24" s="113">
        <v>68.082999999999998</v>
      </c>
      <c r="Q24" s="113">
        <v>58.398000000000003</v>
      </c>
      <c r="R24" s="113">
        <v>80.906999999999996</v>
      </c>
      <c r="S24" s="103">
        <v>53.674999999999997</v>
      </c>
      <c r="T24" s="113">
        <v>50.771999999999998</v>
      </c>
      <c r="U24" s="182">
        <v>7.984</v>
      </c>
      <c r="V24" s="182">
        <f>67.14/10</f>
        <v>6.7140000000000004</v>
      </c>
    </row>
    <row r="25" spans="1:22" ht="15" customHeight="1">
      <c r="A25" s="107" t="s">
        <v>10</v>
      </c>
      <c r="B25" s="109" t="e">
        <f t="shared" ref="B25:D25" si="17">(B24/B23)</f>
        <v>#DIV/0!</v>
      </c>
      <c r="C25" s="109" t="e">
        <f t="shared" si="17"/>
        <v>#DIV/0!</v>
      </c>
      <c r="D25" s="109" t="e">
        <f t="shared" si="17"/>
        <v>#DIV/0!</v>
      </c>
      <c r="E25" s="109" t="s">
        <v>92</v>
      </c>
      <c r="F25" s="109">
        <f t="shared" ref="F25:H25" si="18">(F24/F23)</f>
        <v>0.18894402533690149</v>
      </c>
      <c r="G25" s="109">
        <f t="shared" si="18"/>
        <v>0.29812142512576739</v>
      </c>
      <c r="H25" s="109">
        <f t="shared" si="18"/>
        <v>0.21349102604004458</v>
      </c>
      <c r="I25" s="109">
        <f>(I24/I23)</f>
        <v>0.20402969924545158</v>
      </c>
      <c r="J25" s="109">
        <f t="shared" ref="J25" si="19">(J24/J23)</f>
        <v>0.36081679705714581</v>
      </c>
      <c r="K25" s="184"/>
      <c r="L25" s="209"/>
      <c r="M25" s="105" t="s">
        <v>43</v>
      </c>
      <c r="N25" s="106">
        <f t="shared" ref="N25:V25" si="20">SUM(N26:N34)</f>
        <v>0</v>
      </c>
      <c r="O25" s="106">
        <f t="shared" si="20"/>
        <v>0</v>
      </c>
      <c r="P25" s="106">
        <f t="shared" si="20"/>
        <v>1274.44</v>
      </c>
      <c r="Q25" s="106">
        <f t="shared" si="20"/>
        <v>1288.4760000000003</v>
      </c>
      <c r="R25" s="106">
        <f>SUM(R26:R34)</f>
        <v>1920.1860000000001</v>
      </c>
      <c r="S25" s="106">
        <f t="shared" si="20"/>
        <v>2853.8220000000001</v>
      </c>
      <c r="T25" s="106">
        <f t="shared" si="20"/>
        <v>3426.7650000000003</v>
      </c>
      <c r="U25" s="203">
        <f t="shared" si="20"/>
        <v>3396.0470000000005</v>
      </c>
      <c r="V25" s="203">
        <f t="shared" si="20"/>
        <v>3574.4440000000004</v>
      </c>
    </row>
    <row r="26" spans="1:22" ht="15.5">
      <c r="A26" s="105" t="s">
        <v>11</v>
      </c>
      <c r="B26" s="111">
        <f t="shared" ref="B26:H26" si="21">(B23-B24)</f>
        <v>0</v>
      </c>
      <c r="C26" s="111">
        <f t="shared" si="21"/>
        <v>0</v>
      </c>
      <c r="D26" s="111">
        <f t="shared" si="21"/>
        <v>0</v>
      </c>
      <c r="E26" s="111">
        <f t="shared" si="21"/>
        <v>32.656000000000255</v>
      </c>
      <c r="F26" s="111">
        <f t="shared" si="21"/>
        <v>229.96600000000151</v>
      </c>
      <c r="G26" s="111">
        <f t="shared" si="21"/>
        <v>254.62399999999906</v>
      </c>
      <c r="H26" s="111">
        <f t="shared" si="21"/>
        <v>189.52900000000122</v>
      </c>
      <c r="I26" s="111">
        <f>(I23-I24)</f>
        <v>224.27100000000027</v>
      </c>
      <c r="J26" s="111">
        <f t="shared" ref="J26" si="22">(J23-J24)</f>
        <v>98.695000000000647</v>
      </c>
      <c r="K26" s="188"/>
      <c r="L26" s="208"/>
      <c r="M26" s="102" t="s">
        <v>44</v>
      </c>
      <c r="N26" s="113"/>
      <c r="O26" s="113"/>
      <c r="P26" s="113">
        <v>625.91499999999996</v>
      </c>
      <c r="Q26" s="113">
        <f>517.392</f>
        <v>517.39200000000005</v>
      </c>
      <c r="R26" s="113">
        <v>856.56299999999999</v>
      </c>
      <c r="S26" s="103">
        <v>1249.04</v>
      </c>
      <c r="T26" s="113">
        <v>1329</v>
      </c>
      <c r="U26" s="182">
        <v>1540.8579999999999</v>
      </c>
      <c r="V26" s="182">
        <f>16548.73/10</f>
        <v>1654.873</v>
      </c>
    </row>
    <row r="27" spans="1:22" ht="15.5">
      <c r="A27" s="105" t="s">
        <v>81</v>
      </c>
      <c r="B27" s="116" t="e">
        <f>B26/B6</f>
        <v>#DIV/0!</v>
      </c>
      <c r="C27" s="116" t="e">
        <f>C26/C6</f>
        <v>#DIV/0!</v>
      </c>
      <c r="D27" s="116" t="e">
        <f>D26/D6</f>
        <v>#DIV/0!</v>
      </c>
      <c r="E27" s="116">
        <f>E26/E4</f>
        <v>8.8312614105842228E-3</v>
      </c>
      <c r="F27" s="116">
        <f t="shared" ref="F27:H27" si="23">F26/F4</f>
        <v>4.1236104068059228E-2</v>
      </c>
      <c r="G27" s="116">
        <f t="shared" si="23"/>
        <v>3.1965018049870654E-2</v>
      </c>
      <c r="H27" s="116">
        <f t="shared" si="23"/>
        <v>1.7890972388400421E-2</v>
      </c>
      <c r="I27" s="116">
        <f>I26/I4</f>
        <v>1.9129426064334553E-2</v>
      </c>
      <c r="J27" s="116">
        <f>J26/J4</f>
        <v>1.9343870494948026E-2</v>
      </c>
      <c r="K27" s="189"/>
      <c r="L27" s="213"/>
      <c r="M27" s="102" t="s">
        <v>45</v>
      </c>
      <c r="N27" s="113"/>
      <c r="O27" s="113"/>
      <c r="P27" s="113">
        <v>212.839</v>
      </c>
      <c r="Q27" s="113">
        <f>337.902</f>
        <v>337.90199999999999</v>
      </c>
      <c r="R27" s="113">
        <v>605.89099999999996</v>
      </c>
      <c r="S27" s="103">
        <v>1058.9780000000001</v>
      </c>
      <c r="T27" s="113">
        <v>1066.67</v>
      </c>
      <c r="U27" s="182">
        <v>615.85799999999995</v>
      </c>
      <c r="V27" s="182">
        <f>6613.04/10</f>
        <v>661.30399999999997</v>
      </c>
    </row>
    <row r="28" spans="1:22" ht="15.5">
      <c r="A28" s="102" t="s">
        <v>12</v>
      </c>
      <c r="B28" s="157"/>
      <c r="C28" s="157"/>
      <c r="D28" s="157"/>
      <c r="E28" s="157"/>
      <c r="F28" s="157"/>
      <c r="G28" s="117"/>
      <c r="H28" s="117"/>
      <c r="I28" s="117"/>
      <c r="J28" s="117"/>
      <c r="K28" s="151"/>
      <c r="L28" s="214"/>
      <c r="M28" s="102" t="s">
        <v>46</v>
      </c>
      <c r="N28" s="113"/>
      <c r="O28" s="113"/>
      <c r="P28" s="113">
        <v>13.103999999999999</v>
      </c>
      <c r="Q28" s="113">
        <f>6.269+40.936</f>
        <v>47.204999999999998</v>
      </c>
      <c r="R28" s="113">
        <f>32.688+46.609</f>
        <v>79.296999999999997</v>
      </c>
      <c r="S28" s="103">
        <f>16.946+73.372</f>
        <v>90.317999999999998</v>
      </c>
      <c r="T28" s="103">
        <f>65.272+38.715</f>
        <v>103.98700000000001</v>
      </c>
      <c r="U28" s="181">
        <f>8.454+64.085</f>
        <v>72.538999999999987</v>
      </c>
      <c r="V28" s="181">
        <f>(224.1+570.33)/10</f>
        <v>79.443000000000012</v>
      </c>
    </row>
    <row r="29" spans="1:22" ht="15.5">
      <c r="A29" s="102" t="s">
        <v>71</v>
      </c>
      <c r="B29" s="157"/>
      <c r="C29" s="157"/>
      <c r="D29" s="157"/>
      <c r="E29" s="157"/>
      <c r="F29" s="157">
        <v>-3.887</v>
      </c>
      <c r="G29" s="117">
        <v>-2.0699999999999998</v>
      </c>
      <c r="H29" s="117">
        <v>-0.189</v>
      </c>
      <c r="I29" s="117">
        <v>-5.5060000000000002</v>
      </c>
      <c r="J29" s="117">
        <f>53.44/10</f>
        <v>5.3439999999999994</v>
      </c>
      <c r="K29" s="151"/>
      <c r="L29" s="214"/>
      <c r="M29" s="102" t="s">
        <v>85</v>
      </c>
      <c r="N29" s="113"/>
      <c r="O29" s="113"/>
      <c r="P29" s="113" t="s">
        <v>128</v>
      </c>
      <c r="Q29" s="113">
        <v>0</v>
      </c>
      <c r="R29" s="113">
        <v>0</v>
      </c>
      <c r="S29" s="103">
        <v>24.481999999999999</v>
      </c>
      <c r="T29" s="113">
        <v>103.568</v>
      </c>
      <c r="U29" s="182">
        <v>143.947</v>
      </c>
      <c r="V29" s="182">
        <f>1199.89/10</f>
        <v>119.989</v>
      </c>
    </row>
    <row r="30" spans="1:22" ht="15.5">
      <c r="A30" s="105" t="s">
        <v>13</v>
      </c>
      <c r="B30" s="118">
        <f t="shared" ref="B30:H30" si="24">(B26-B28+B29)</f>
        <v>0</v>
      </c>
      <c r="C30" s="118">
        <f t="shared" si="24"/>
        <v>0</v>
      </c>
      <c r="D30" s="118">
        <f t="shared" si="24"/>
        <v>0</v>
      </c>
      <c r="E30" s="118">
        <f t="shared" si="24"/>
        <v>32.656000000000255</v>
      </c>
      <c r="F30" s="118">
        <f t="shared" si="24"/>
        <v>226.07900000000151</v>
      </c>
      <c r="G30" s="118">
        <f t="shared" si="24"/>
        <v>252.55399999999906</v>
      </c>
      <c r="H30" s="118">
        <f t="shared" si="24"/>
        <v>189.34000000000123</v>
      </c>
      <c r="I30" s="118">
        <f t="shared" ref="I30:J30" si="25">(I26-I28+I29)</f>
        <v>218.76500000000027</v>
      </c>
      <c r="J30" s="118">
        <f t="shared" si="25"/>
        <v>104.03900000000064</v>
      </c>
      <c r="K30" s="180"/>
      <c r="L30" s="215"/>
      <c r="M30" s="102" t="s">
        <v>68</v>
      </c>
      <c r="N30" s="113"/>
      <c r="O30" s="113"/>
      <c r="P30" s="113">
        <v>85.507999999999996</v>
      </c>
      <c r="Q30" s="113">
        <f>255.17</f>
        <v>255.17</v>
      </c>
      <c r="R30" s="113">
        <v>214.68100000000001</v>
      </c>
      <c r="S30" s="103">
        <v>397.13099999999997</v>
      </c>
      <c r="T30" s="113">
        <v>716.39499999999998</v>
      </c>
      <c r="U30" s="182">
        <v>975.31299999999999</v>
      </c>
      <c r="V30" s="182">
        <f>10582.54/10</f>
        <v>1058.2540000000001</v>
      </c>
    </row>
    <row r="31" spans="1:22" ht="15.5">
      <c r="A31" s="107" t="s">
        <v>2</v>
      </c>
      <c r="B31" s="119"/>
      <c r="C31" s="109" t="e">
        <f>(C30/B30-1)</f>
        <v>#DIV/0!</v>
      </c>
      <c r="D31" s="109" t="e">
        <f>-(D30/C30-1)</f>
        <v>#DIV/0!</v>
      </c>
      <c r="E31" s="109"/>
      <c r="F31" s="120">
        <f t="shared" ref="F31:H31" si="26">(F30/E30-1)</f>
        <v>5.9230463008329171</v>
      </c>
      <c r="G31" s="120">
        <f t="shared" si="26"/>
        <v>0.11710508273655384</v>
      </c>
      <c r="H31" s="120">
        <f t="shared" si="26"/>
        <v>-0.25029894596798341</v>
      </c>
      <c r="I31" s="120">
        <f>(I30/H30-1)</f>
        <v>0.15540826027251953</v>
      </c>
      <c r="J31" s="120"/>
      <c r="K31" s="190"/>
      <c r="L31" s="209"/>
      <c r="M31" s="102" t="s">
        <v>69</v>
      </c>
      <c r="N31" s="113"/>
      <c r="O31" s="113"/>
      <c r="P31" s="113">
        <v>118.67100000000001</v>
      </c>
      <c r="Q31" s="113">
        <f>128.429</f>
        <v>128.429</v>
      </c>
      <c r="R31" s="113">
        <v>150.05000000000001</v>
      </c>
      <c r="S31" s="103">
        <v>24.11</v>
      </c>
      <c r="T31" s="113">
        <v>91.992999999999995</v>
      </c>
      <c r="U31" s="182">
        <v>44.304000000000002</v>
      </c>
      <c r="V31" s="182">
        <f>5.69/10</f>
        <v>0.56900000000000006</v>
      </c>
    </row>
    <row r="32" spans="1:22" ht="15.5">
      <c r="A32" s="107" t="s">
        <v>158</v>
      </c>
      <c r="B32" s="119"/>
      <c r="C32" s="109"/>
      <c r="D32" s="109"/>
      <c r="E32" s="109"/>
      <c r="F32" s="109"/>
      <c r="G32" s="109"/>
      <c r="H32" s="200">
        <f>(H30/E30)^(1/3)-1</f>
        <v>0.79649685727687736</v>
      </c>
      <c r="I32" s="200">
        <f>(I30/F30)^(1/3)-1</f>
        <v>-1.0902268560565087E-2</v>
      </c>
      <c r="J32" s="200"/>
      <c r="K32" s="185"/>
      <c r="L32" s="210"/>
      <c r="M32" s="102" t="s">
        <v>41</v>
      </c>
      <c r="N32" s="113"/>
      <c r="O32" s="113"/>
      <c r="P32" s="113">
        <v>218.40299999999999</v>
      </c>
      <c r="Q32" s="113">
        <f>1.226</f>
        <v>1.226</v>
      </c>
      <c r="R32" s="113">
        <v>7.38</v>
      </c>
      <c r="S32" s="103">
        <v>9.7629999999999999</v>
      </c>
      <c r="T32" s="113">
        <v>9.2170000000000005</v>
      </c>
      <c r="U32" s="182">
        <v>2.7789999999999999</v>
      </c>
      <c r="V32" s="182">
        <f>0.12/10</f>
        <v>1.2E-2</v>
      </c>
    </row>
    <row r="33" spans="1:22" ht="15.5">
      <c r="A33" s="101" t="s">
        <v>14</v>
      </c>
      <c r="B33" s="121"/>
      <c r="C33" s="121"/>
      <c r="D33" s="121"/>
      <c r="E33" s="121">
        <v>0.47</v>
      </c>
      <c r="F33" s="121">
        <v>3.33</v>
      </c>
      <c r="G33" s="159">
        <v>3.69</v>
      </c>
      <c r="H33" s="159">
        <v>2.75</v>
      </c>
      <c r="I33" s="159">
        <v>3.25</v>
      </c>
      <c r="J33" s="159">
        <v>1.43</v>
      </c>
      <c r="K33" s="152"/>
      <c r="L33" s="216"/>
      <c r="M33" s="102" t="s">
        <v>118</v>
      </c>
      <c r="N33" s="113"/>
      <c r="O33" s="113"/>
      <c r="P33" s="113"/>
      <c r="Q33" s="113">
        <f>0</f>
        <v>0</v>
      </c>
      <c r="R33" s="113">
        <v>6.3239999999999998</v>
      </c>
      <c r="S33" s="103">
        <v>0</v>
      </c>
      <c r="T33" s="113">
        <v>5.9349999999999996</v>
      </c>
      <c r="U33" s="182">
        <v>0.44900000000000001</v>
      </c>
      <c r="V33" s="182">
        <v>0</v>
      </c>
    </row>
    <row r="34" spans="1:22" ht="15.5">
      <c r="A34" s="122" t="s">
        <v>2</v>
      </c>
      <c r="B34" s="123"/>
      <c r="C34" s="124" t="e">
        <f>(C33/B33-1)</f>
        <v>#DIV/0!</v>
      </c>
      <c r="D34" s="124" t="e">
        <f>-(D33/C33-1)</f>
        <v>#DIV/0!</v>
      </c>
      <c r="E34" s="124"/>
      <c r="F34" s="124">
        <f t="shared" ref="F34:H34" si="27">(F33/E33-1)</f>
        <v>6.085106382978724</v>
      </c>
      <c r="G34" s="124">
        <f t="shared" si="27"/>
        <v>0.10810810810810811</v>
      </c>
      <c r="H34" s="124">
        <f t="shared" si="27"/>
        <v>-0.2547425474254742</v>
      </c>
      <c r="I34" s="124">
        <f>(I33/H33-1)</f>
        <v>0.18181818181818188</v>
      </c>
      <c r="J34" s="124"/>
      <c r="K34" s="191"/>
      <c r="L34" s="217"/>
      <c r="M34" s="102" t="s">
        <v>129</v>
      </c>
      <c r="N34" s="112"/>
      <c r="O34" s="112"/>
      <c r="P34" s="112"/>
      <c r="Q34" s="113">
        <f>1.152</f>
        <v>1.1519999999999999</v>
      </c>
      <c r="R34" s="113">
        <v>0</v>
      </c>
      <c r="S34" s="103">
        <v>0</v>
      </c>
      <c r="T34" s="113">
        <v>0</v>
      </c>
      <c r="U34" s="182">
        <v>0</v>
      </c>
      <c r="V34" s="182">
        <v>0</v>
      </c>
    </row>
    <row r="35" spans="1:22" ht="15.5">
      <c r="A35" s="107" t="s">
        <v>158</v>
      </c>
      <c r="B35" s="123"/>
      <c r="C35" s="125"/>
      <c r="D35" s="125"/>
      <c r="E35" s="126"/>
      <c r="F35" s="126"/>
      <c r="G35" s="124"/>
      <c r="H35" s="201">
        <f>(H33/E33)^(1/3)-1</f>
        <v>0.80195916618043639</v>
      </c>
      <c r="I35" s="201">
        <f>(I33/F33)^(1/3)-1</f>
        <v>-8.07300605291561E-3</v>
      </c>
      <c r="J35" s="201"/>
      <c r="K35" s="192"/>
      <c r="L35" s="218"/>
      <c r="M35" s="105" t="s">
        <v>47</v>
      </c>
      <c r="N35" s="106">
        <f t="shared" ref="N35:V35" si="28">SUM(N36:N42)</f>
        <v>0</v>
      </c>
      <c r="O35" s="106">
        <f t="shared" si="28"/>
        <v>0</v>
      </c>
      <c r="P35" s="106">
        <f t="shared" si="28"/>
        <v>229.14500000000001</v>
      </c>
      <c r="Q35" s="106">
        <f t="shared" si="28"/>
        <v>90.778999999999996</v>
      </c>
      <c r="R35" s="106">
        <f t="shared" si="28"/>
        <v>266.14099999999996</v>
      </c>
      <c r="S35" s="106">
        <f t="shared" si="28"/>
        <v>682.39799999999991</v>
      </c>
      <c r="T35" s="106">
        <f t="shared" si="28"/>
        <v>1241.894</v>
      </c>
      <c r="U35" s="203">
        <f t="shared" si="28"/>
        <v>948.90200000000004</v>
      </c>
      <c r="V35" s="203">
        <f t="shared" si="28"/>
        <v>1218.0030000000002</v>
      </c>
    </row>
    <row r="36" spans="1:22" ht="15.5">
      <c r="A36" s="114"/>
      <c r="B36" s="104"/>
      <c r="C36" s="104"/>
      <c r="D36" s="104"/>
      <c r="E36" s="104"/>
      <c r="F36" s="114"/>
      <c r="G36" s="104"/>
      <c r="H36" s="104"/>
      <c r="I36" s="127"/>
      <c r="J36" s="127"/>
      <c r="K36" s="127"/>
      <c r="L36" s="127"/>
      <c r="M36" s="102" t="s">
        <v>83</v>
      </c>
      <c r="N36" s="113"/>
      <c r="O36" s="113"/>
      <c r="P36" s="113">
        <v>92.769000000000005</v>
      </c>
      <c r="Q36" s="113">
        <f>53.478</f>
        <v>53.478000000000002</v>
      </c>
      <c r="R36" s="113">
        <v>138.83699999999999</v>
      </c>
      <c r="S36" s="103">
        <v>558.08799999999997</v>
      </c>
      <c r="T36" s="103">
        <v>1078.4690000000001</v>
      </c>
      <c r="U36" s="181">
        <f>13.824+764.928</f>
        <v>778.75199999999995</v>
      </c>
      <c r="V36" s="181">
        <f>(69.89+8468.77)/10</f>
        <v>853.86599999999999</v>
      </c>
    </row>
    <row r="37" spans="1:22" ht="15.5">
      <c r="A37" s="114"/>
      <c r="B37" s="104"/>
      <c r="C37" s="104"/>
      <c r="D37" s="104"/>
      <c r="E37" s="104"/>
      <c r="F37" s="114"/>
      <c r="G37" s="104"/>
      <c r="H37" s="104"/>
      <c r="I37" s="127"/>
      <c r="J37" s="127"/>
      <c r="K37" s="127"/>
      <c r="L37" s="127"/>
      <c r="M37" s="102" t="s">
        <v>84</v>
      </c>
      <c r="N37" s="112"/>
      <c r="O37" s="112"/>
      <c r="P37" s="112"/>
      <c r="Q37" s="113">
        <f>13.052</f>
        <v>13.052</v>
      </c>
      <c r="R37" s="113">
        <v>47.475000000000001</v>
      </c>
      <c r="S37" s="103">
        <v>77.997</v>
      </c>
      <c r="T37" s="113">
        <v>93.655000000000001</v>
      </c>
      <c r="U37" s="182">
        <v>131.45099999999999</v>
      </c>
      <c r="V37" s="182">
        <f>2429.39/10</f>
        <v>242.93899999999999</v>
      </c>
    </row>
    <row r="38" spans="1:22" ht="15.5">
      <c r="A38" s="127" t="s">
        <v>15</v>
      </c>
      <c r="B38" s="104"/>
      <c r="C38" s="104"/>
      <c r="D38" s="104"/>
      <c r="E38" s="104"/>
      <c r="F38" s="114"/>
      <c r="G38" s="104"/>
      <c r="H38" s="104"/>
      <c r="I38" s="114"/>
      <c r="J38" s="114"/>
      <c r="K38" s="114"/>
      <c r="L38" s="114"/>
      <c r="M38" s="102" t="s">
        <v>79</v>
      </c>
      <c r="N38" s="112"/>
      <c r="O38" s="112"/>
      <c r="P38" s="112">
        <v>120.042</v>
      </c>
      <c r="Q38" s="113">
        <f>23.403</f>
        <v>23.402999999999999</v>
      </c>
      <c r="R38" s="113">
        <v>38.085999999999999</v>
      </c>
      <c r="S38" s="103">
        <v>25.079000000000001</v>
      </c>
      <c r="T38" s="113">
        <v>49.697000000000003</v>
      </c>
      <c r="U38" s="182">
        <v>19.181999999999999</v>
      </c>
      <c r="V38" s="182">
        <f>569.34/10</f>
        <v>56.934000000000005</v>
      </c>
    </row>
    <row r="39" spans="1:22" ht="15.5">
      <c r="A39" s="101" t="s">
        <v>0</v>
      </c>
      <c r="B39" s="130" t="s">
        <v>30</v>
      </c>
      <c r="C39" s="130" t="s">
        <v>31</v>
      </c>
      <c r="D39" s="130" t="s">
        <v>32</v>
      </c>
      <c r="E39" s="130" t="s">
        <v>33</v>
      </c>
      <c r="F39" s="130" t="s">
        <v>34</v>
      </c>
      <c r="G39" s="130" t="s">
        <v>87</v>
      </c>
      <c r="H39" s="130" t="s">
        <v>133</v>
      </c>
      <c r="I39" s="130" t="s">
        <v>166</v>
      </c>
      <c r="J39" s="163" t="s">
        <v>170</v>
      </c>
      <c r="K39" s="193"/>
      <c r="L39" s="114"/>
      <c r="M39" s="102" t="s">
        <v>98</v>
      </c>
      <c r="N39" s="113"/>
      <c r="O39" s="113"/>
      <c r="P39" s="113">
        <v>16.334</v>
      </c>
      <c r="Q39" s="113">
        <f>0.846</f>
        <v>0.84599999999999997</v>
      </c>
      <c r="R39" s="113">
        <v>2.5230000000000001</v>
      </c>
      <c r="S39" s="103">
        <v>3.1819999999999999</v>
      </c>
      <c r="T39" s="113">
        <v>3.544</v>
      </c>
      <c r="U39" s="182">
        <v>3.9929999999999999</v>
      </c>
      <c r="V39" s="182">
        <f>116.15/10</f>
        <v>11.615</v>
      </c>
    </row>
    <row r="40" spans="1:22" ht="15.5">
      <c r="A40" s="101" t="s">
        <v>16</v>
      </c>
      <c r="B40" s="128"/>
      <c r="C40" s="128"/>
      <c r="D40" s="128"/>
      <c r="E40" s="128">
        <v>12.8</v>
      </c>
      <c r="F40" s="128">
        <v>6.2690000000000001</v>
      </c>
      <c r="G40" s="128">
        <v>32.688000000000002</v>
      </c>
      <c r="H40" s="128">
        <v>16.946000000000002</v>
      </c>
      <c r="I40" s="128">
        <f>H45</f>
        <v>38.714999999999975</v>
      </c>
      <c r="J40" s="128">
        <f>I45</f>
        <v>8.4539999999999793</v>
      </c>
      <c r="K40" s="153"/>
      <c r="L40" s="114"/>
      <c r="M40" s="102" t="s">
        <v>99</v>
      </c>
      <c r="N40" s="113"/>
      <c r="O40" s="113"/>
      <c r="P40" s="113"/>
      <c r="Q40" s="113">
        <f>0</f>
        <v>0</v>
      </c>
      <c r="R40" s="113">
        <v>39.22</v>
      </c>
      <c r="S40" s="103">
        <v>18.052</v>
      </c>
      <c r="T40" s="113">
        <v>16.529</v>
      </c>
      <c r="U40" s="182">
        <v>4.0270000000000001</v>
      </c>
      <c r="V40" s="182">
        <f>420.26/10</f>
        <v>42.025999999999996</v>
      </c>
    </row>
    <row r="41" spans="1:22" ht="15.5">
      <c r="A41" s="101" t="s">
        <v>17</v>
      </c>
      <c r="B41" s="128"/>
      <c r="C41" s="128"/>
      <c r="D41" s="128"/>
      <c r="E41" s="128">
        <v>70.519000000000005</v>
      </c>
      <c r="F41" s="128">
        <v>-87.183000000000007</v>
      </c>
      <c r="G41" s="128">
        <v>-179.852</v>
      </c>
      <c r="H41" s="128">
        <v>541.07399999999996</v>
      </c>
      <c r="I41" s="128">
        <v>198.989</v>
      </c>
      <c r="J41" s="128">
        <f>2792.57/10</f>
        <v>279.25700000000001</v>
      </c>
      <c r="K41" s="153"/>
      <c r="L41" s="114"/>
      <c r="M41" s="102" t="s">
        <v>164</v>
      </c>
      <c r="N41" s="113"/>
      <c r="O41" s="113"/>
      <c r="P41" s="113"/>
      <c r="Q41" s="113"/>
      <c r="R41" s="113"/>
      <c r="S41" s="103"/>
      <c r="T41" s="113"/>
      <c r="U41" s="182">
        <v>11.497</v>
      </c>
      <c r="V41" s="182">
        <f>106.23/10</f>
        <v>10.623000000000001</v>
      </c>
    </row>
    <row r="42" spans="1:22" ht="15.5">
      <c r="A42" s="102" t="s">
        <v>80</v>
      </c>
      <c r="B42" s="113"/>
      <c r="C42" s="113"/>
      <c r="D42" s="113"/>
      <c r="E42" s="113">
        <v>-40.645000000000003</v>
      </c>
      <c r="F42" s="113">
        <v>-402.149</v>
      </c>
      <c r="G42" s="113">
        <v>-103.60899999999999</v>
      </c>
      <c r="H42" s="113">
        <v>-338.48899999999998</v>
      </c>
      <c r="I42" s="113">
        <v>-4.6390000000000002</v>
      </c>
      <c r="J42" s="113">
        <f>-323.33/10</f>
        <v>-32.332999999999998</v>
      </c>
      <c r="K42" s="194"/>
      <c r="L42" s="114"/>
      <c r="M42" s="102" t="s">
        <v>130</v>
      </c>
      <c r="N42" s="113"/>
      <c r="O42" s="113"/>
      <c r="P42" s="113"/>
      <c r="Q42" s="113"/>
      <c r="R42" s="113"/>
      <c r="S42" s="103"/>
      <c r="T42" s="113"/>
      <c r="U42" s="182"/>
      <c r="V42" s="182"/>
    </row>
    <row r="43" spans="1:22" ht="15.5">
      <c r="A43" s="102" t="s">
        <v>18</v>
      </c>
      <c r="B43" s="113"/>
      <c r="C43" s="113"/>
      <c r="D43" s="113"/>
      <c r="E43" s="113">
        <v>-36.430999999999997</v>
      </c>
      <c r="F43" s="113">
        <v>515.75099999999998</v>
      </c>
      <c r="G43" s="113">
        <v>267.71800000000002</v>
      </c>
      <c r="H43" s="113">
        <v>-180.816</v>
      </c>
      <c r="I43" s="113">
        <v>-224.61099999999999</v>
      </c>
      <c r="J43" s="113">
        <f>-2329.68/10</f>
        <v>-232.96799999999999</v>
      </c>
      <c r="K43" s="194"/>
      <c r="L43" s="114"/>
      <c r="M43" s="105" t="s">
        <v>48</v>
      </c>
      <c r="N43" s="106">
        <f t="shared" ref="N43:T43" si="29">(N25-N35-N9)</f>
        <v>0</v>
      </c>
      <c r="O43" s="106">
        <f t="shared" si="29"/>
        <v>0</v>
      </c>
      <c r="P43" s="106">
        <f t="shared" si="29"/>
        <v>238.51200000000006</v>
      </c>
      <c r="Q43" s="203">
        <f>(Q25-Q35-Q9)</f>
        <v>280.76500000000033</v>
      </c>
      <c r="R43" s="203">
        <f t="shared" si="29"/>
        <v>296.31799999999998</v>
      </c>
      <c r="S43" s="203">
        <f t="shared" si="29"/>
        <v>315.61300000000006</v>
      </c>
      <c r="T43" s="203">
        <f t="shared" si="29"/>
        <v>236.29700000000003</v>
      </c>
      <c r="U43" s="203">
        <f>(U25-U35-U9)</f>
        <v>604.82900000000041</v>
      </c>
      <c r="V43" s="203">
        <f>(V25-V35-V9)</f>
        <v>760.43000000000029</v>
      </c>
    </row>
    <row r="44" spans="1:22" ht="15.5">
      <c r="A44" s="101" t="s">
        <v>19</v>
      </c>
      <c r="B44" s="128">
        <f t="shared" ref="B44:G44" si="30">+B41+B42+B43</f>
        <v>0</v>
      </c>
      <c r="C44" s="128">
        <f t="shared" si="30"/>
        <v>0</v>
      </c>
      <c r="D44" s="128">
        <f t="shared" si="30"/>
        <v>0</v>
      </c>
      <c r="E44" s="106">
        <f t="shared" si="30"/>
        <v>-6.5569999999999951</v>
      </c>
      <c r="F44" s="106">
        <f>+F41+F42+F43</f>
        <v>26.418999999999983</v>
      </c>
      <c r="G44" s="106">
        <f t="shared" si="30"/>
        <v>-15.742999999999995</v>
      </c>
      <c r="H44" s="106">
        <f t="shared" ref="H44:J44" si="31">+H41+H42+H43</f>
        <v>21.768999999999977</v>
      </c>
      <c r="I44" s="106">
        <f t="shared" si="31"/>
        <v>-30.260999999999996</v>
      </c>
      <c r="J44" s="106">
        <f t="shared" si="31"/>
        <v>13.956000000000017</v>
      </c>
      <c r="K44" s="153"/>
      <c r="L44" s="114"/>
      <c r="M44" s="102" t="s">
        <v>49</v>
      </c>
      <c r="N44" s="113"/>
      <c r="O44" s="113"/>
      <c r="P44" s="113"/>
      <c r="Q44" s="113"/>
      <c r="R44" s="113"/>
      <c r="S44" s="103">
        <v>8.3640000000000008</v>
      </c>
      <c r="T44" s="113">
        <v>12.606</v>
      </c>
      <c r="U44" s="182">
        <v>6.1130000000000004</v>
      </c>
      <c r="V44" s="182">
        <f>231.13/10</f>
        <v>23.113</v>
      </c>
    </row>
    <row r="45" spans="1:22" ht="15.5">
      <c r="A45" s="101" t="s">
        <v>73</v>
      </c>
      <c r="B45" s="128"/>
      <c r="C45" s="128"/>
      <c r="D45" s="128"/>
      <c r="E45" s="106">
        <f t="shared" ref="E45:F45" si="32">E40+E44</f>
        <v>6.2430000000000057</v>
      </c>
      <c r="F45" s="106">
        <f t="shared" si="32"/>
        <v>32.687999999999981</v>
      </c>
      <c r="G45" s="106">
        <f>G40+G44</f>
        <v>16.945000000000007</v>
      </c>
      <c r="H45" s="106">
        <f>H40+H44</f>
        <v>38.714999999999975</v>
      </c>
      <c r="I45" s="106">
        <f>I40+I44</f>
        <v>8.4539999999999793</v>
      </c>
      <c r="J45" s="106">
        <f>J40+J44</f>
        <v>22.409999999999997</v>
      </c>
      <c r="K45" s="153"/>
      <c r="L45" s="114"/>
      <c r="M45" s="102" t="s">
        <v>86</v>
      </c>
      <c r="N45" s="113"/>
      <c r="O45" s="113"/>
      <c r="P45" s="113"/>
      <c r="Q45" s="113"/>
      <c r="R45" s="113">
        <v>0</v>
      </c>
      <c r="S45" s="103">
        <v>0</v>
      </c>
      <c r="T45" s="113">
        <v>0</v>
      </c>
      <c r="U45" s="182">
        <v>0</v>
      </c>
      <c r="V45" s="182">
        <v>0</v>
      </c>
    </row>
    <row r="46" spans="1:22" ht="15.5">
      <c r="A46" s="114"/>
      <c r="B46" s="104"/>
      <c r="C46" s="104"/>
      <c r="D46" s="104"/>
      <c r="E46" s="104"/>
      <c r="F46" s="114"/>
      <c r="G46" s="104"/>
      <c r="H46" s="104"/>
      <c r="I46" s="114"/>
      <c r="J46" s="114"/>
      <c r="K46" s="114"/>
      <c r="L46" s="114"/>
      <c r="M46" s="102" t="s">
        <v>164</v>
      </c>
      <c r="N46" s="113"/>
      <c r="O46" s="113"/>
      <c r="P46" s="113"/>
      <c r="Q46" s="113"/>
      <c r="R46" s="113"/>
      <c r="S46" s="103"/>
      <c r="T46" s="113"/>
      <c r="U46" s="182">
        <v>26.087</v>
      </c>
      <c r="V46" s="182">
        <f>226.28/10</f>
        <v>22.628</v>
      </c>
    </row>
    <row r="47" spans="1:22" ht="15.5">
      <c r="A47" s="101" t="s">
        <v>20</v>
      </c>
      <c r="B47" s="130" t="s">
        <v>30</v>
      </c>
      <c r="C47" s="130" t="s">
        <v>31</v>
      </c>
      <c r="D47" s="130" t="s">
        <v>32</v>
      </c>
      <c r="E47" s="130" t="s">
        <v>33</v>
      </c>
      <c r="F47" s="130" t="s">
        <v>34</v>
      </c>
      <c r="G47" s="131" t="s">
        <v>87</v>
      </c>
      <c r="H47" s="131" t="s">
        <v>133</v>
      </c>
      <c r="I47" s="131" t="s">
        <v>166</v>
      </c>
      <c r="J47" s="163" t="s">
        <v>170</v>
      </c>
      <c r="K47" s="154"/>
      <c r="L47" s="114"/>
      <c r="M47" s="102" t="s">
        <v>72</v>
      </c>
      <c r="N47" s="113"/>
      <c r="O47" s="113"/>
      <c r="P47" s="113">
        <v>6.55</v>
      </c>
      <c r="Q47" s="113">
        <f>7.702</f>
        <v>7.702</v>
      </c>
      <c r="R47" s="113">
        <v>14.599</v>
      </c>
      <c r="S47" s="103">
        <v>20.748999999999999</v>
      </c>
      <c r="T47" s="113">
        <v>26.064</v>
      </c>
      <c r="U47" s="182">
        <v>32.173000000000002</v>
      </c>
      <c r="V47" s="182">
        <f>264.21/10</f>
        <v>26.420999999999999</v>
      </c>
    </row>
    <row r="48" spans="1:22" ht="15.5">
      <c r="A48" s="102" t="s">
        <v>21</v>
      </c>
      <c r="B48" s="113">
        <f t="shared" ref="B48:J48" si="33">B23</f>
        <v>0</v>
      </c>
      <c r="C48" s="113">
        <f t="shared" si="33"/>
        <v>0</v>
      </c>
      <c r="D48" s="113">
        <f t="shared" si="33"/>
        <v>0</v>
      </c>
      <c r="E48" s="132">
        <f t="shared" si="33"/>
        <v>32.225000000000257</v>
      </c>
      <c r="F48" s="132">
        <f t="shared" si="33"/>
        <v>283.53900000000152</v>
      </c>
      <c r="G48" s="133">
        <f t="shared" si="33"/>
        <v>362.77499999999907</v>
      </c>
      <c r="H48" s="133">
        <f t="shared" si="33"/>
        <v>240.97500000000122</v>
      </c>
      <c r="I48" s="133">
        <f t="shared" si="33"/>
        <v>281.75800000000027</v>
      </c>
      <c r="J48" s="133">
        <f t="shared" si="33"/>
        <v>154.40800000000064</v>
      </c>
      <c r="K48" s="195"/>
      <c r="L48" s="114"/>
      <c r="M48" s="101"/>
      <c r="N48" s="128"/>
      <c r="O48" s="128"/>
      <c r="P48" s="128"/>
      <c r="Q48" s="128"/>
      <c r="R48" s="128"/>
      <c r="S48" s="156"/>
      <c r="T48" s="156"/>
      <c r="U48" s="186"/>
      <c r="V48" s="186"/>
    </row>
    <row r="49" spans="1:22" ht="15.5">
      <c r="A49" s="102" t="s">
        <v>22</v>
      </c>
      <c r="B49" s="113">
        <f t="shared" ref="B49:J49" si="34">B20</f>
        <v>0</v>
      </c>
      <c r="C49" s="113">
        <f t="shared" si="34"/>
        <v>0</v>
      </c>
      <c r="D49" s="113">
        <f t="shared" si="34"/>
        <v>0</v>
      </c>
      <c r="E49" s="132">
        <f t="shared" si="34"/>
        <v>29.201000000000001</v>
      </c>
      <c r="F49" s="132">
        <f t="shared" si="34"/>
        <v>33.018999999999998</v>
      </c>
      <c r="G49" s="133">
        <f t="shared" si="34"/>
        <v>48.781999999999996</v>
      </c>
      <c r="H49" s="133">
        <f t="shared" si="34"/>
        <v>68.352000000000004</v>
      </c>
      <c r="I49" s="133">
        <f t="shared" si="34"/>
        <v>86.069000000000003</v>
      </c>
      <c r="J49" s="133">
        <f t="shared" si="34"/>
        <v>42.128</v>
      </c>
      <c r="K49" s="195"/>
      <c r="L49" s="114"/>
      <c r="M49" s="105" t="s">
        <v>93</v>
      </c>
      <c r="N49" s="111">
        <f t="shared" ref="N49:U49" si="35">SUM(N15:N24)+N25</f>
        <v>0</v>
      </c>
      <c r="O49" s="111">
        <f t="shared" si="35"/>
        <v>0</v>
      </c>
      <c r="P49" s="111">
        <f t="shared" si="35"/>
        <v>1956.4</v>
      </c>
      <c r="Q49" s="111">
        <f t="shared" si="35"/>
        <v>2014.0650000000005</v>
      </c>
      <c r="R49" s="111">
        <f t="shared" si="35"/>
        <v>2988.8710000000001</v>
      </c>
      <c r="S49" s="111">
        <f t="shared" si="35"/>
        <v>4073.0069999999996</v>
      </c>
      <c r="T49" s="111">
        <f t="shared" si="35"/>
        <v>4845.9850000000006</v>
      </c>
      <c r="U49" s="204">
        <f t="shared" si="35"/>
        <v>4797.1100000000006</v>
      </c>
      <c r="V49" s="204">
        <f t="shared" ref="V49" si="36">SUM(V15:V24)+V25</f>
        <v>4989.9090000000006</v>
      </c>
    </row>
    <row r="50" spans="1:22" ht="15.5">
      <c r="A50" s="102" t="s">
        <v>23</v>
      </c>
      <c r="B50" s="113">
        <f t="shared" ref="B50:D50" si="37">B22</f>
        <v>0</v>
      </c>
      <c r="C50" s="113">
        <f t="shared" si="37"/>
        <v>0</v>
      </c>
      <c r="D50" s="113">
        <f t="shared" si="37"/>
        <v>0</v>
      </c>
      <c r="E50" s="132">
        <f>90.7-E49</f>
        <v>61.499000000000002</v>
      </c>
      <c r="F50" s="132">
        <f>139.7-F49</f>
        <v>106.68099999999998</v>
      </c>
      <c r="G50" s="133">
        <f>211.9-G49</f>
        <v>163.11799999999999</v>
      </c>
      <c r="H50" s="133">
        <f>0.522+2.857+208.062-92.928+2.367-3.607-0.299-5.992+4.048-63.609-4.336+16.326</f>
        <v>63.411000000000001</v>
      </c>
      <c r="I50" s="133">
        <f>0.118+245.457-156.928+1.255-1.23-3.688-6.115-2.232+37.877+38.186</f>
        <v>152.69999999999999</v>
      </c>
      <c r="J50" s="132">
        <f>(12.62+1155.12-0.33+7.55-1.51-14.38-48.31+42+757.45+168.81)/10</f>
        <v>207.90199999999999</v>
      </c>
      <c r="K50" s="195"/>
      <c r="L50" s="114"/>
      <c r="M50" s="105" t="s">
        <v>94</v>
      </c>
      <c r="N50" s="111">
        <f t="shared" ref="N50:T50" si="38">N47+N35+N10+N6+N44+N45+N48</f>
        <v>0</v>
      </c>
      <c r="O50" s="111">
        <f t="shared" si="38"/>
        <v>0</v>
      </c>
      <c r="P50" s="111">
        <f t="shared" si="38"/>
        <v>1956.4</v>
      </c>
      <c r="Q50" s="111">
        <f t="shared" si="38"/>
        <v>2014.0650000000001</v>
      </c>
      <c r="R50" s="111">
        <f t="shared" si="38"/>
        <v>2988.8710000000001</v>
      </c>
      <c r="S50" s="111">
        <f t="shared" si="38"/>
        <v>4072.107</v>
      </c>
      <c r="T50" s="111">
        <f t="shared" si="38"/>
        <v>4845.9849999999997</v>
      </c>
      <c r="U50" s="204">
        <f>U47+U35+U10+U6+U44+U45+U48+U46</f>
        <v>4797.1100000000006</v>
      </c>
      <c r="V50" s="204">
        <f>V47+V35+V10+V6+V44+V45+V48+V46</f>
        <v>4989.9089999999997</v>
      </c>
    </row>
    <row r="51" spans="1:22" ht="15.5">
      <c r="A51" s="102" t="s">
        <v>24</v>
      </c>
      <c r="B51" s="113"/>
      <c r="C51" s="113">
        <f>-((O43-N43)-(O28-N28))</f>
        <v>0</v>
      </c>
      <c r="D51" s="113">
        <f>-((P43-O43)-(P28-O28))</f>
        <v>-225.40800000000007</v>
      </c>
      <c r="E51" s="132">
        <v>-50.5</v>
      </c>
      <c r="F51" s="132">
        <v>-498.3</v>
      </c>
      <c r="G51" s="133">
        <v>-670.2</v>
      </c>
      <c r="H51" s="133">
        <v>218.16499999999999</v>
      </c>
      <c r="I51" s="133">
        <f>-211.858+421.484-101.256-40.379+0.045-297.485+0.274-30.515+6.191</f>
        <v>-253.499</v>
      </c>
      <c r="J51" s="202">
        <f>(-1140.15-605.84-821.86+239.58-48.39+751.14-1.22+377.52+16.87)/10</f>
        <v>-123.23500000000006</v>
      </c>
      <c r="K51" s="195"/>
      <c r="L51" s="114"/>
      <c r="M51" s="101" t="s">
        <v>50</v>
      </c>
      <c r="N51" s="172"/>
      <c r="O51" s="172"/>
      <c r="P51" s="172"/>
      <c r="Q51" s="172"/>
      <c r="R51" s="102"/>
      <c r="S51" s="117"/>
      <c r="T51" s="102"/>
      <c r="U51" s="196"/>
      <c r="V51" s="96"/>
    </row>
    <row r="52" spans="1:22" ht="15.5">
      <c r="A52" s="102" t="s">
        <v>25</v>
      </c>
      <c r="B52" s="113">
        <f t="shared" ref="B52:D52" si="39">-B24</f>
        <v>0</v>
      </c>
      <c r="C52" s="113">
        <f t="shared" si="39"/>
        <v>0</v>
      </c>
      <c r="D52" s="113">
        <f t="shared" si="39"/>
        <v>0</v>
      </c>
      <c r="E52" s="132">
        <v>-1.9</v>
      </c>
      <c r="F52" s="132">
        <v>-12.1</v>
      </c>
      <c r="G52" s="133">
        <v>-84.3</v>
      </c>
      <c r="H52" s="133">
        <v>-49.826999999999998</v>
      </c>
      <c r="I52" s="133">
        <v>-68.039000000000001</v>
      </c>
      <c r="J52" s="202">
        <f>-19.46/10</f>
        <v>-1.9460000000000002</v>
      </c>
      <c r="K52" s="195"/>
      <c r="L52" s="114"/>
      <c r="M52" s="101" t="s">
        <v>51</v>
      </c>
      <c r="N52" s="163" t="s">
        <v>30</v>
      </c>
      <c r="O52" s="163" t="s">
        <v>31</v>
      </c>
      <c r="P52" s="163" t="s">
        <v>32</v>
      </c>
      <c r="Q52" s="163" t="s">
        <v>33</v>
      </c>
      <c r="R52" s="163" t="s">
        <v>34</v>
      </c>
      <c r="S52" s="144" t="s">
        <v>87</v>
      </c>
      <c r="T52" s="144" t="s">
        <v>133</v>
      </c>
      <c r="U52" s="163" t="s">
        <v>166</v>
      </c>
      <c r="V52" s="163" t="s">
        <v>170</v>
      </c>
    </row>
    <row r="53" spans="1:22" ht="15.5">
      <c r="A53" s="101" t="s">
        <v>26</v>
      </c>
      <c r="B53" s="128">
        <f t="shared" ref="B53:G53" si="40">SUM(B48:B52)</f>
        <v>0</v>
      </c>
      <c r="C53" s="128">
        <f t="shared" si="40"/>
        <v>0</v>
      </c>
      <c r="D53" s="128">
        <f t="shared" si="40"/>
        <v>-225.40800000000007</v>
      </c>
      <c r="E53" s="106">
        <f t="shared" si="40"/>
        <v>70.525000000000261</v>
      </c>
      <c r="F53" s="106">
        <f t="shared" si="40"/>
        <v>-87.160999999998495</v>
      </c>
      <c r="G53" s="111">
        <f t="shared" si="40"/>
        <v>-179.82500000000101</v>
      </c>
      <c r="H53" s="111">
        <f t="shared" ref="H53:J53" si="41">SUM(H48:H52)</f>
        <v>541.07600000000127</v>
      </c>
      <c r="I53" s="111">
        <f t="shared" si="41"/>
        <v>198.98900000000026</v>
      </c>
      <c r="J53" s="111">
        <f t="shared" si="41"/>
        <v>279.25700000000052</v>
      </c>
      <c r="K53" s="197"/>
      <c r="L53" s="114"/>
      <c r="M53" s="118" t="s">
        <v>52</v>
      </c>
      <c r="N53" s="134"/>
      <c r="O53" s="134"/>
      <c r="P53" s="134"/>
      <c r="Q53" s="134">
        <v>23.75</v>
      </c>
      <c r="R53" s="134">
        <v>62.95</v>
      </c>
      <c r="S53" s="205">
        <v>156.25</v>
      </c>
      <c r="T53" s="134">
        <v>81.650000000000006</v>
      </c>
      <c r="U53" s="134">
        <v>42</v>
      </c>
      <c r="V53" s="134">
        <f>50.6</f>
        <v>50.6</v>
      </c>
    </row>
    <row r="54" spans="1:22" ht="15.5">
      <c r="A54" s="102" t="s">
        <v>27</v>
      </c>
      <c r="B54" s="113"/>
      <c r="C54" s="113">
        <f t="shared" ref="C54:D54" si="42">-(O15-N15)</f>
        <v>0</v>
      </c>
      <c r="D54" s="113">
        <f t="shared" si="42"/>
        <v>-365.94900000000001</v>
      </c>
      <c r="E54" s="132">
        <v>-156.4</v>
      </c>
      <c r="F54" s="132">
        <v>-376</v>
      </c>
      <c r="G54" s="133">
        <v>-223.2</v>
      </c>
      <c r="H54" s="133">
        <v>-271.56400000000002</v>
      </c>
      <c r="I54" s="133">
        <f>(-367.19+21.92)/10</f>
        <v>-34.527000000000001</v>
      </c>
      <c r="J54" s="202">
        <f>-367.76/10</f>
        <v>-36.775999999999996</v>
      </c>
      <c r="K54" s="195"/>
      <c r="L54" s="114"/>
      <c r="M54" s="118" t="s">
        <v>53</v>
      </c>
      <c r="N54" s="134">
        <f t="shared" ref="N54:V54" si="43">B33</f>
        <v>0</v>
      </c>
      <c r="O54" s="134">
        <f t="shared" si="43"/>
        <v>0</v>
      </c>
      <c r="P54" s="134">
        <f t="shared" si="43"/>
        <v>0</v>
      </c>
      <c r="Q54" s="134">
        <f t="shared" si="43"/>
        <v>0.47</v>
      </c>
      <c r="R54" s="134">
        <f t="shared" si="43"/>
        <v>3.33</v>
      </c>
      <c r="S54" s="134">
        <f t="shared" si="43"/>
        <v>3.69</v>
      </c>
      <c r="T54" s="134">
        <f t="shared" si="43"/>
        <v>2.75</v>
      </c>
      <c r="U54" s="219">
        <f t="shared" si="43"/>
        <v>3.25</v>
      </c>
      <c r="V54" s="219">
        <f t="shared" si="43"/>
        <v>1.43</v>
      </c>
    </row>
    <row r="55" spans="1:22" ht="15.5">
      <c r="A55" s="105" t="s">
        <v>28</v>
      </c>
      <c r="B55" s="128"/>
      <c r="C55" s="128">
        <f t="shared" ref="C55:G55" si="44">SUM(C53:C54)</f>
        <v>0</v>
      </c>
      <c r="D55" s="128">
        <f t="shared" si="44"/>
        <v>-591.35700000000008</v>
      </c>
      <c r="E55" s="106">
        <f t="shared" si="44"/>
        <v>-85.874999999999744</v>
      </c>
      <c r="F55" s="106">
        <f t="shared" si="44"/>
        <v>-463.16099999999847</v>
      </c>
      <c r="G55" s="111">
        <f t="shared" si="44"/>
        <v>-403.025000000001</v>
      </c>
      <c r="H55" s="111">
        <f t="shared" ref="H55:J55" si="45">SUM(H53:H54)</f>
        <v>269.51200000000125</v>
      </c>
      <c r="I55" s="111">
        <f t="shared" si="45"/>
        <v>164.46200000000027</v>
      </c>
      <c r="J55" s="111">
        <f t="shared" si="45"/>
        <v>242.48100000000051</v>
      </c>
      <c r="K55" s="197"/>
      <c r="L55" s="114"/>
      <c r="M55" s="157" t="s">
        <v>54</v>
      </c>
      <c r="N55" s="136" t="e">
        <f t="shared" ref="N55:V55" si="46">(N6*1000000)/B58</f>
        <v>#DIV/0!</v>
      </c>
      <c r="O55" s="136" t="e">
        <f t="shared" si="46"/>
        <v>#DIV/0!</v>
      </c>
      <c r="P55" s="136" t="e">
        <f t="shared" si="46"/>
        <v>#DIV/0!</v>
      </c>
      <c r="Q55" s="136">
        <f t="shared" si="46"/>
        <v>13.702838219913062</v>
      </c>
      <c r="R55" s="136">
        <f t="shared" si="46"/>
        <v>16.828579463247344</v>
      </c>
      <c r="S55" s="136">
        <f t="shared" si="46"/>
        <v>19.774887316883845</v>
      </c>
      <c r="T55" s="136">
        <f t="shared" si="46"/>
        <v>21.733096944822702</v>
      </c>
      <c r="U55" s="220">
        <f t="shared" si="46"/>
        <v>23.777036484619163</v>
      </c>
      <c r="V55" s="220">
        <f t="shared" si="46"/>
        <v>25.284020024127614</v>
      </c>
    </row>
    <row r="56" spans="1:22" ht="15.5">
      <c r="A56" s="114" t="s">
        <v>29</v>
      </c>
      <c r="B56" s="104"/>
      <c r="C56" s="104"/>
      <c r="D56" s="104"/>
      <c r="E56" s="104"/>
      <c r="F56" s="114"/>
      <c r="G56" s="104"/>
      <c r="H56" s="104"/>
      <c r="I56" s="114"/>
      <c r="J56" s="114"/>
      <c r="K56" s="114"/>
      <c r="L56" s="114"/>
      <c r="M56" s="157" t="s">
        <v>55</v>
      </c>
      <c r="N56" s="136"/>
      <c r="O56" s="136"/>
      <c r="P56" s="136"/>
      <c r="Q56" s="136">
        <v>0.2</v>
      </c>
      <c r="R56" s="136">
        <v>0.6</v>
      </c>
      <c r="S56" s="137">
        <v>0.7</v>
      </c>
      <c r="T56" s="137">
        <v>0.3</v>
      </c>
      <c r="U56" s="221">
        <v>0.7</v>
      </c>
      <c r="V56" s="221">
        <v>0.7</v>
      </c>
    </row>
    <row r="57" spans="1:22" ht="15.5">
      <c r="A57" s="114"/>
      <c r="B57" s="104"/>
      <c r="C57" s="104"/>
      <c r="D57" s="104"/>
      <c r="E57" s="104"/>
      <c r="F57" s="114"/>
      <c r="G57" s="104"/>
      <c r="H57" s="104"/>
      <c r="I57" s="114"/>
      <c r="J57" s="114"/>
      <c r="K57" s="114"/>
      <c r="L57" s="114"/>
      <c r="M57" s="157" t="s">
        <v>56</v>
      </c>
      <c r="N57" s="136" t="e">
        <f t="shared" ref="N57:T57" si="47">(N53/N54)</f>
        <v>#DIV/0!</v>
      </c>
      <c r="O57" s="136" t="e">
        <f t="shared" si="47"/>
        <v>#DIV/0!</v>
      </c>
      <c r="P57" s="136" t="e">
        <f t="shared" si="47"/>
        <v>#DIV/0!</v>
      </c>
      <c r="Q57" s="135">
        <f>(Q53/Q54)</f>
        <v>50.531914893617021</v>
      </c>
      <c r="R57" s="135">
        <f t="shared" si="47"/>
        <v>18.903903903903906</v>
      </c>
      <c r="S57" s="135">
        <f t="shared" si="47"/>
        <v>42.344173441734419</v>
      </c>
      <c r="T57" s="135">
        <f t="shared" si="47"/>
        <v>29.690909090909091</v>
      </c>
      <c r="U57" s="135">
        <f>(U53/U54)</f>
        <v>12.923076923076923</v>
      </c>
      <c r="V57" s="135">
        <f>(V53/V54)</f>
        <v>35.384615384615387</v>
      </c>
    </row>
    <row r="58" spans="1:22" ht="15.5">
      <c r="A58" s="102" t="s">
        <v>74</v>
      </c>
      <c r="B58" s="138"/>
      <c r="C58" s="138"/>
      <c r="D58" s="138"/>
      <c r="E58" s="138">
        <v>68368099</v>
      </c>
      <c r="F58" s="138">
        <v>68467514</v>
      </c>
      <c r="G58" s="138">
        <v>68704614</v>
      </c>
      <c r="H58" s="162">
        <v>68746714</v>
      </c>
      <c r="I58" s="162">
        <v>69037914</v>
      </c>
      <c r="J58" s="162">
        <v>69037914</v>
      </c>
      <c r="K58" s="198"/>
      <c r="L58" s="114"/>
      <c r="M58" s="157" t="s">
        <v>57</v>
      </c>
      <c r="N58" s="136" t="e">
        <f t="shared" ref="N58:T58" si="48">(N53/N55)</f>
        <v>#DIV/0!</v>
      </c>
      <c r="O58" s="136" t="e">
        <f t="shared" si="48"/>
        <v>#DIV/0!</v>
      </c>
      <c r="P58" s="136" t="e">
        <f t="shared" si="48"/>
        <v>#DIV/0!</v>
      </c>
      <c r="Q58" s="135">
        <f t="shared" si="48"/>
        <v>1.7332175728008181</v>
      </c>
      <c r="R58" s="135">
        <f t="shared" si="48"/>
        <v>3.7406603532686287</v>
      </c>
      <c r="S58" s="135">
        <f t="shared" si="48"/>
        <v>7.9014356691981442</v>
      </c>
      <c r="T58" s="135">
        <f t="shared" si="48"/>
        <v>3.7569427038998611</v>
      </c>
      <c r="U58" s="135">
        <f t="shared" ref="U58:V58" si="49">(U53/U55)</f>
        <v>1.7664102095805281</v>
      </c>
      <c r="V58" s="135">
        <f t="shared" si="49"/>
        <v>2.0012640375903148</v>
      </c>
    </row>
    <row r="59" spans="1:22" ht="15.5">
      <c r="A59" s="102" t="s">
        <v>75</v>
      </c>
      <c r="B59" s="113">
        <f t="shared" ref="B59:J59" si="50">B58*N53/1000000</f>
        <v>0</v>
      </c>
      <c r="C59" s="113">
        <f t="shared" si="50"/>
        <v>0</v>
      </c>
      <c r="D59" s="113">
        <f t="shared" si="50"/>
        <v>0</v>
      </c>
      <c r="E59" s="132">
        <f t="shared" si="50"/>
        <v>1623.74235125</v>
      </c>
      <c r="F59" s="132">
        <f t="shared" si="50"/>
        <v>4310.0300063000004</v>
      </c>
      <c r="G59" s="133">
        <f t="shared" si="50"/>
        <v>10735.0959375</v>
      </c>
      <c r="H59" s="133">
        <f t="shared" si="50"/>
        <v>5613.1691981000004</v>
      </c>
      <c r="I59" s="133">
        <f t="shared" si="50"/>
        <v>2899.592388</v>
      </c>
      <c r="J59" s="133">
        <f t="shared" si="50"/>
        <v>3493.3184484000003</v>
      </c>
      <c r="K59" s="195"/>
      <c r="L59" s="114"/>
      <c r="M59" s="157" t="s">
        <v>58</v>
      </c>
      <c r="N59" s="136" t="e">
        <f t="shared" ref="N59:V59" si="51">B62/B16</f>
        <v>#DIV/0!</v>
      </c>
      <c r="O59" s="136" t="e">
        <f t="shared" si="51"/>
        <v>#DIV/0!</v>
      </c>
      <c r="P59" s="136" t="e">
        <f t="shared" si="51"/>
        <v>#DIV/0!</v>
      </c>
      <c r="Q59" s="135">
        <f t="shared" si="51"/>
        <v>28.842308835148632</v>
      </c>
      <c r="R59" s="135">
        <f t="shared" si="51"/>
        <v>15.479039065851991</v>
      </c>
      <c r="S59" s="135">
        <f t="shared" si="51"/>
        <v>22.665519545748669</v>
      </c>
      <c r="T59" s="135">
        <f t="shared" si="51"/>
        <v>19.136407395785682</v>
      </c>
      <c r="U59" s="135">
        <f t="shared" si="51"/>
        <v>7.9652041449946687</v>
      </c>
      <c r="V59" s="135">
        <f t="shared" si="51"/>
        <v>30.261876284056786</v>
      </c>
    </row>
    <row r="60" spans="1:22" ht="15.5">
      <c r="A60" s="102" t="s">
        <v>78</v>
      </c>
      <c r="B60" s="113">
        <f t="shared" ref="B60:G60" si="52">N10</f>
        <v>0</v>
      </c>
      <c r="C60" s="113">
        <f t="shared" si="52"/>
        <v>0</v>
      </c>
      <c r="D60" s="113">
        <f t="shared" si="52"/>
        <v>821.46</v>
      </c>
      <c r="E60" s="133">
        <f t="shared" si="52"/>
        <v>978.74700000000007</v>
      </c>
      <c r="F60" s="133">
        <f t="shared" si="52"/>
        <v>1555.92</v>
      </c>
      <c r="G60" s="133">
        <f t="shared" si="52"/>
        <v>2001.9699999999998</v>
      </c>
      <c r="H60" s="133">
        <f>T10</f>
        <v>2071.3420000000001</v>
      </c>
      <c r="I60" s="133">
        <f>U10</f>
        <v>2142.3180000000002</v>
      </c>
      <c r="J60" s="133">
        <f>V10</f>
        <v>1954.1880000000001</v>
      </c>
      <c r="K60" s="195"/>
      <c r="L60" s="114"/>
      <c r="M60" s="161" t="s">
        <v>59</v>
      </c>
      <c r="N60" s="160" t="e">
        <f t="shared" ref="N60:V60" si="53">(B26/N6)</f>
        <v>#DIV/0!</v>
      </c>
      <c r="O60" s="160" t="e">
        <f t="shared" si="53"/>
        <v>#DIV/0!</v>
      </c>
      <c r="P60" s="160">
        <f t="shared" si="53"/>
        <v>0</v>
      </c>
      <c r="Q60" s="124">
        <f t="shared" si="53"/>
        <v>3.4857718044868272E-2</v>
      </c>
      <c r="R60" s="124">
        <f t="shared" si="53"/>
        <v>0.19958670764295908</v>
      </c>
      <c r="S60" s="124">
        <f t="shared" si="53"/>
        <v>0.18741287153344557</v>
      </c>
      <c r="T60" s="124">
        <f t="shared" si="53"/>
        <v>0.12685339931824302</v>
      </c>
      <c r="U60" s="124">
        <f t="shared" si="53"/>
        <v>0.13662423234118212</v>
      </c>
      <c r="V60" s="124">
        <f t="shared" si="53"/>
        <v>5.654072398708529E-2</v>
      </c>
    </row>
    <row r="61" spans="1:22" ht="15.5">
      <c r="A61" s="102" t="s">
        <v>76</v>
      </c>
      <c r="B61" s="113">
        <f t="shared" ref="B61:G61" si="54">N28</f>
        <v>0</v>
      </c>
      <c r="C61" s="113">
        <f t="shared" si="54"/>
        <v>0</v>
      </c>
      <c r="D61" s="113">
        <f t="shared" si="54"/>
        <v>13.103999999999999</v>
      </c>
      <c r="E61" s="132">
        <f>Q28</f>
        <v>47.204999999999998</v>
      </c>
      <c r="F61" s="132">
        <f t="shared" si="54"/>
        <v>79.296999999999997</v>
      </c>
      <c r="G61" s="133">
        <f t="shared" si="54"/>
        <v>90.317999999999998</v>
      </c>
      <c r="H61" s="133">
        <f>T28</f>
        <v>103.98700000000001</v>
      </c>
      <c r="I61" s="133">
        <f>U28</f>
        <v>72.538999999999987</v>
      </c>
      <c r="J61" s="133">
        <f>V28</f>
        <v>79.443000000000012</v>
      </c>
      <c r="K61" s="195"/>
      <c r="L61" s="114"/>
      <c r="M61" s="161" t="s">
        <v>60</v>
      </c>
      <c r="N61" s="160" t="e">
        <f>(B23+B21)/N11</f>
        <v>#DIV/0!</v>
      </c>
      <c r="O61" s="160" t="e">
        <f>(C23+C21)/O11</f>
        <v>#DIV/0!</v>
      </c>
      <c r="P61" s="160">
        <f t="shared" ref="P61:V61" si="55">(D16-D20)/P11</f>
        <v>0</v>
      </c>
      <c r="Q61" s="124">
        <f t="shared" si="55"/>
        <v>5.901899331646742E-2</v>
      </c>
      <c r="R61" s="223">
        <f t="shared" si="55"/>
        <v>0.24968370032886489</v>
      </c>
      <c r="S61" s="223">
        <f t="shared" si="55"/>
        <v>0.33195883950562483</v>
      </c>
      <c r="T61" s="223">
        <f t="shared" si="55"/>
        <v>0.19799192638915894</v>
      </c>
      <c r="U61" s="124">
        <f t="shared" si="55"/>
        <v>0.26811812400667645</v>
      </c>
      <c r="V61" s="124">
        <f t="shared" si="55"/>
        <v>6.2162466479311104E-2</v>
      </c>
    </row>
    <row r="62" spans="1:22" ht="15.5">
      <c r="A62" s="102" t="s">
        <v>77</v>
      </c>
      <c r="B62" s="128">
        <f t="shared" ref="B62:H62" si="56">B59+B60-B61</f>
        <v>0</v>
      </c>
      <c r="C62" s="128">
        <f t="shared" si="56"/>
        <v>0</v>
      </c>
      <c r="D62" s="128">
        <f t="shared" si="56"/>
        <v>808.35599999999999</v>
      </c>
      <c r="E62" s="106">
        <f t="shared" si="56"/>
        <v>2555.2843512500003</v>
      </c>
      <c r="F62" s="106">
        <f t="shared" si="56"/>
        <v>5786.6530063000009</v>
      </c>
      <c r="G62" s="106">
        <f t="shared" si="56"/>
        <v>12646.7479375</v>
      </c>
      <c r="H62" s="106">
        <f t="shared" si="56"/>
        <v>7580.5241981000008</v>
      </c>
      <c r="I62" s="106">
        <f t="shared" ref="I62:J62" si="57">I59+I60-I61</f>
        <v>4969.3713880000005</v>
      </c>
      <c r="J62" s="106">
        <f t="shared" si="57"/>
        <v>5368.0634484000002</v>
      </c>
      <c r="K62" s="153"/>
      <c r="L62" s="114"/>
      <c r="M62" s="157" t="s">
        <v>61</v>
      </c>
      <c r="N62" s="166" t="e">
        <f t="shared" ref="N62:T62" si="58">(N10/N6)</f>
        <v>#DIV/0!</v>
      </c>
      <c r="O62" s="166" t="e">
        <f t="shared" si="58"/>
        <v>#DIV/0!</v>
      </c>
      <c r="P62" s="166">
        <f t="shared" si="58"/>
        <v>0.91349965804647237</v>
      </c>
      <c r="Q62" s="139">
        <f t="shared" si="58"/>
        <v>1.0447356370425165</v>
      </c>
      <c r="R62" s="139">
        <f t="shared" si="58"/>
        <v>1.3503776652019466</v>
      </c>
      <c r="S62" s="139">
        <f t="shared" si="58"/>
        <v>1.47352545880912</v>
      </c>
      <c r="T62" s="139">
        <f t="shared" si="58"/>
        <v>1.3863671198109337</v>
      </c>
      <c r="U62" s="139">
        <f t="shared" ref="U62:V62" si="59">(U10/U6)</f>
        <v>1.3050842604736961</v>
      </c>
      <c r="V62" s="139">
        <f t="shared" si="59"/>
        <v>1.1195218027952125</v>
      </c>
    </row>
    <row r="63" spans="1:22" ht="15.5">
      <c r="A63" s="114"/>
      <c r="B63" s="104"/>
      <c r="C63" s="104"/>
      <c r="D63" s="104"/>
      <c r="E63" s="104"/>
      <c r="F63" s="114"/>
      <c r="G63" s="104"/>
      <c r="H63" s="104"/>
      <c r="I63" s="114"/>
      <c r="J63" s="114"/>
      <c r="K63" s="114"/>
      <c r="L63" s="114"/>
      <c r="M63" s="157" t="s">
        <v>62</v>
      </c>
      <c r="N63" s="166" t="e">
        <f t="shared" ref="N63:U63" si="60">(N10-N28)/N6</f>
        <v>#DIV/0!</v>
      </c>
      <c r="O63" s="166" t="e">
        <f t="shared" si="60"/>
        <v>#DIV/0!</v>
      </c>
      <c r="P63" s="166">
        <f t="shared" si="60"/>
        <v>0.89892743356927196</v>
      </c>
      <c r="Q63" s="139">
        <f t="shared" si="60"/>
        <v>0.99434800290765635</v>
      </c>
      <c r="R63" s="139">
        <f t="shared" si="60"/>
        <v>1.2815560691574721</v>
      </c>
      <c r="S63" s="139">
        <f t="shared" si="60"/>
        <v>1.4070480029088208</v>
      </c>
      <c r="T63" s="139">
        <f t="shared" si="60"/>
        <v>1.3167677211178259</v>
      </c>
      <c r="U63" s="139">
        <f t="shared" si="60"/>
        <v>1.2608940388677061</v>
      </c>
      <c r="V63" s="139">
        <f t="shared" ref="V63" si="61">(V10-V28)/V6</f>
        <v>1.0740102294054159</v>
      </c>
    </row>
    <row r="64" spans="1:22" ht="15.5">
      <c r="A64" s="114"/>
      <c r="B64" s="104"/>
      <c r="C64" s="104"/>
      <c r="D64" s="104"/>
      <c r="E64" s="104"/>
      <c r="F64" s="114"/>
      <c r="G64" s="104"/>
      <c r="H64" s="104"/>
      <c r="I64" s="114"/>
      <c r="J64" s="114"/>
      <c r="K64" s="114"/>
      <c r="L64" s="114"/>
      <c r="M64" s="157" t="s">
        <v>63</v>
      </c>
      <c r="N64" s="167" t="e">
        <f t="shared" ref="N64:T64" si="62">(N56/N53)</f>
        <v>#DIV/0!</v>
      </c>
      <c r="O64" s="167" t="e">
        <f t="shared" si="62"/>
        <v>#DIV/0!</v>
      </c>
      <c r="P64" s="167" t="e">
        <f t="shared" si="62"/>
        <v>#DIV/0!</v>
      </c>
      <c r="Q64" s="140">
        <f t="shared" si="62"/>
        <v>8.4210526315789472E-3</v>
      </c>
      <c r="R64" s="140">
        <f t="shared" si="62"/>
        <v>9.5313741064336766E-3</v>
      </c>
      <c r="S64" s="141">
        <f t="shared" si="62"/>
        <v>4.4799999999999996E-3</v>
      </c>
      <c r="T64" s="141">
        <f t="shared" si="62"/>
        <v>3.6742192284139616E-3</v>
      </c>
      <c r="U64" s="141">
        <f t="shared" ref="U64:V64" si="63">(U56/U53)</f>
        <v>1.6666666666666666E-2</v>
      </c>
      <c r="V64" s="141">
        <f t="shared" si="63"/>
        <v>1.3833992094861658E-2</v>
      </c>
    </row>
    <row r="65" spans="1:22" ht="15.5">
      <c r="A65" s="114"/>
      <c r="B65" s="104"/>
      <c r="C65" s="104"/>
      <c r="D65" s="104"/>
      <c r="E65" s="104"/>
      <c r="F65" s="114"/>
      <c r="G65" s="104"/>
      <c r="H65" s="104"/>
      <c r="I65" s="114"/>
      <c r="J65" s="114"/>
      <c r="K65" s="114"/>
      <c r="L65" s="114"/>
      <c r="M65" s="157" t="s">
        <v>64</v>
      </c>
      <c r="N65" s="157"/>
      <c r="O65" s="169" t="e">
        <f t="shared" ref="O65:V65" si="64">(AVERAGE(N27:O27)/C6*365)</f>
        <v>#DIV/0!</v>
      </c>
      <c r="P65" s="169" t="e">
        <f t="shared" si="64"/>
        <v>#DIV/0!</v>
      </c>
      <c r="Q65" s="142">
        <f t="shared" si="64"/>
        <v>26.882767626814232</v>
      </c>
      <c r="R65" s="142">
        <f t="shared" si="64"/>
        <v>30.768380091771618</v>
      </c>
      <c r="S65" s="142">
        <f t="shared" si="64"/>
        <v>38.079535325750484</v>
      </c>
      <c r="T65" s="142">
        <f t="shared" si="64"/>
        <v>36.205089160212133</v>
      </c>
      <c r="U65" s="142">
        <f t="shared" si="64"/>
        <v>26.129634955996959</v>
      </c>
      <c r="V65" s="142">
        <f t="shared" si="64"/>
        <v>44.508541867409711</v>
      </c>
    </row>
    <row r="66" spans="1:22" ht="15.5">
      <c r="A66" s="114"/>
      <c r="B66" s="104"/>
      <c r="C66" s="104"/>
      <c r="D66" s="104"/>
      <c r="E66" s="104"/>
      <c r="F66" s="114"/>
      <c r="G66" s="104"/>
      <c r="H66" s="104"/>
      <c r="I66" s="114"/>
      <c r="J66" s="114"/>
      <c r="K66" s="114"/>
      <c r="L66" s="114"/>
      <c r="M66" s="157" t="s">
        <v>65</v>
      </c>
      <c r="N66" s="157"/>
      <c r="O66" s="169" t="e">
        <f>AVERAGE(N36:O36)/(C10+C11)*365</f>
        <v>#DIV/0!</v>
      </c>
      <c r="P66" s="169" t="e">
        <f>AVERAGE(O36:P36)/(D10+D11)*365</f>
        <v>#DIV/0!</v>
      </c>
      <c r="Q66" s="142">
        <f>AVERAGE(P36:Q36)/(E10+E11)*365</f>
        <v>13.49919278197375</v>
      </c>
      <c r="R66" s="142">
        <f>AVERAGE(Q36:R36)/(F10+F11)*365</f>
        <v>9.3054008594988034</v>
      </c>
      <c r="S66" s="142">
        <f>AVERAGE(R36:S36)/(G10+G11+G12)*365</f>
        <v>17.869703579889023</v>
      </c>
      <c r="T66" s="142">
        <f>AVERAGE(S36:T36)/(H10+H11+H12)*365</f>
        <v>32.503639458092124</v>
      </c>
      <c r="U66" s="142">
        <f>AVERAGE(T36:U36)/(I10+I11+I12)*365</f>
        <v>33.500293004038106</v>
      </c>
      <c r="V66" s="142">
        <f>AVERAGE(U36:V36)/(J10+J11+J12)*365</f>
        <v>64.104625214666186</v>
      </c>
    </row>
    <row r="67" spans="1:22" ht="15.5">
      <c r="A67" s="114"/>
      <c r="B67" s="104"/>
      <c r="C67" s="104"/>
      <c r="D67" s="104"/>
      <c r="E67" s="104"/>
      <c r="F67" s="114"/>
      <c r="G67" s="104"/>
      <c r="H67" s="104"/>
      <c r="I67" s="114"/>
      <c r="J67" s="114"/>
      <c r="K67" s="114"/>
      <c r="L67" s="114"/>
      <c r="M67" s="157" t="s">
        <v>66</v>
      </c>
      <c r="N67" s="117"/>
      <c r="O67" s="170" t="e">
        <f>(AVERAGE(N26:O26)/(C10+C11)*365)</f>
        <v>#DIV/0!</v>
      </c>
      <c r="P67" s="170" t="e">
        <f>(AVERAGE(O26:P26)/(D10+D11)*365)</f>
        <v>#DIV/0!</v>
      </c>
      <c r="Q67" s="143">
        <f t="shared" ref="Q67:V67" si="65">(AVERAGE(P26:Q26)/(E10+E11+E12+E13)*365)</f>
        <v>63.168427370403222</v>
      </c>
      <c r="R67" s="222">
        <f t="shared" si="65"/>
        <v>53.258209621901166</v>
      </c>
      <c r="S67" s="222">
        <f t="shared" si="65"/>
        <v>57.357219129931956</v>
      </c>
      <c r="T67" s="222">
        <f t="shared" si="65"/>
        <v>50.41321295682566</v>
      </c>
      <c r="U67" s="143">
        <f t="shared" si="65"/>
        <v>51.400085321837231</v>
      </c>
      <c r="V67" s="143">
        <f t="shared" si="65"/>
        <v>128.35616844602609</v>
      </c>
    </row>
    <row r="68" spans="1:22" ht="15.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57" t="s">
        <v>82</v>
      </c>
      <c r="N68" s="170"/>
      <c r="O68" s="170" t="e">
        <f t="shared" ref="O68:T68" si="66">(O67+O65-O66)</f>
        <v>#DIV/0!</v>
      </c>
      <c r="P68" s="170" t="e">
        <f t="shared" si="66"/>
        <v>#DIV/0!</v>
      </c>
      <c r="Q68" s="143">
        <f t="shared" si="66"/>
        <v>76.552002215243704</v>
      </c>
      <c r="R68" s="222">
        <f t="shared" si="66"/>
        <v>74.721188854173988</v>
      </c>
      <c r="S68" s="222">
        <f t="shared" si="66"/>
        <v>77.567050875793413</v>
      </c>
      <c r="T68" s="143">
        <f t="shared" si="66"/>
        <v>54.114662658945662</v>
      </c>
      <c r="U68" s="143">
        <f t="shared" ref="U68:V68" si="67">(U67+U65-U66)</f>
        <v>44.029427273796081</v>
      </c>
      <c r="V68" s="143">
        <f t="shared" si="67"/>
        <v>108.76008509876962</v>
      </c>
    </row>
    <row r="69" spans="1:22" ht="15.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57" t="s">
        <v>67</v>
      </c>
      <c r="N69" s="170"/>
      <c r="O69" s="170" t="e">
        <f>AVERAGE(N43:O43)/C6*365</f>
        <v>#DIV/0!</v>
      </c>
      <c r="P69" s="170" t="e">
        <f>AVERAGE(O43:P43)/D6*365</f>
        <v>#DIV/0!</v>
      </c>
      <c r="Q69" s="143">
        <f>AVERAGE(P43:Q43)/E6*365</f>
        <v>25.346946976798943</v>
      </c>
      <c r="R69" s="143">
        <f t="shared" ref="R69:V69" si="68">AVERAGE(Q43:R43)/F6*365</f>
        <v>18.813351114598063</v>
      </c>
      <c r="S69" s="143">
        <f t="shared" si="68"/>
        <v>13.996325315338215</v>
      </c>
      <c r="T69" s="143">
        <f t="shared" si="68"/>
        <v>9.4004043747660386</v>
      </c>
      <c r="U69" s="143">
        <f t="shared" si="68"/>
        <v>13.062674340039459</v>
      </c>
      <c r="V69" s="143">
        <f t="shared" si="68"/>
        <v>47.578684114746565</v>
      </c>
    </row>
    <row r="70" spans="1:22" ht="15.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71" t="s">
        <v>88</v>
      </c>
      <c r="N70" s="171"/>
      <c r="O70" s="168" t="e">
        <f t="shared" ref="O70:V70" si="69">C21/O10</f>
        <v>#DIV/0!</v>
      </c>
      <c r="P70" s="168">
        <f t="shared" si="69"/>
        <v>0</v>
      </c>
      <c r="Q70" s="141">
        <f t="shared" si="69"/>
        <v>6.9712601928792625E-2</v>
      </c>
      <c r="R70" s="141">
        <f t="shared" si="69"/>
        <v>5.0449251889557303E-2</v>
      </c>
      <c r="S70" s="141">
        <f t="shared" si="69"/>
        <v>7.9801395625309079E-2</v>
      </c>
      <c r="T70" s="141">
        <f t="shared" si="69"/>
        <v>0.10044792216833338</v>
      </c>
      <c r="U70" s="141">
        <f t="shared" si="69"/>
        <v>0.11457542717747785</v>
      </c>
      <c r="V70" s="141">
        <f t="shared" si="69"/>
        <v>5.9109973042511761E-2</v>
      </c>
    </row>
    <row r="71" spans="1:22" ht="15.5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</row>
  </sheetData>
  <mergeCells count="3">
    <mergeCell ref="A2:H2"/>
    <mergeCell ref="M2:T2"/>
    <mergeCell ref="A1:T1"/>
  </mergeCells>
  <pageMargins left="0.7" right="0.7" top="0.75" bottom="0.75" header="0.3" footer="0.3"/>
  <pageSetup paperSize="9" scale="42" orientation="landscape" horizontalDpi="1200" verticalDpi="1200" r:id="rId1"/>
  <rowBreaks count="1" manualBreakCount="1">
    <brk id="72" max="20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view="pageBreakPreview" zoomScaleNormal="100" zoomScaleSheetLayoutView="100" workbookViewId="0">
      <selection activeCell="F6" sqref="F6"/>
    </sheetView>
  </sheetViews>
  <sheetFormatPr defaultColWidth="9.1796875" defaultRowHeight="11.5"/>
  <cols>
    <col min="1" max="1" width="39.26953125" style="1" customWidth="1"/>
    <col min="2" max="3" width="11.1796875" style="10" customWidth="1"/>
    <col min="4" max="4" width="13.26953125" style="1" bestFit="1" customWidth="1"/>
    <col min="5" max="5" width="12.453125" style="10" bestFit="1" customWidth="1"/>
    <col min="6" max="6" width="11.453125" style="10" customWidth="1"/>
    <col min="7" max="7" width="3.81640625" style="1" customWidth="1"/>
    <col min="8" max="8" width="40.7265625" style="1" customWidth="1"/>
    <col min="9" max="9" width="10.81640625" style="10" hidden="1" customWidth="1"/>
    <col min="10" max="10" width="13.81640625" style="10" hidden="1" customWidth="1"/>
    <col min="11" max="11" width="13.453125" style="10" bestFit="1" customWidth="1"/>
    <col min="12" max="12" width="13.81640625" style="10" customWidth="1"/>
    <col min="13" max="13" width="10.81640625" style="1" bestFit="1" customWidth="1"/>
    <col min="14" max="14" width="10.453125" style="16" bestFit="1" customWidth="1"/>
    <col min="15" max="15" width="10.26953125" style="1" bestFit="1" customWidth="1"/>
    <col min="16" max="16384" width="9.1796875" style="1"/>
  </cols>
  <sheetData>
    <row r="1" spans="1:18" ht="15" customHeight="1">
      <c r="A1" s="426" t="s">
        <v>160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8" ht="15" customHeight="1">
      <c r="A2" s="428" t="s">
        <v>97</v>
      </c>
      <c r="B2" s="429"/>
      <c r="C2" s="429"/>
      <c r="D2" s="429"/>
      <c r="E2" s="429"/>
      <c r="F2" s="430"/>
      <c r="G2" s="2"/>
      <c r="H2" s="431" t="s">
        <v>96</v>
      </c>
      <c r="I2" s="432"/>
      <c r="J2" s="432"/>
      <c r="K2" s="432"/>
      <c r="L2" s="432"/>
      <c r="M2" s="432"/>
      <c r="N2" s="432"/>
      <c r="O2" s="432"/>
    </row>
    <row r="3" spans="1:18" ht="15" customHeight="1">
      <c r="A3" s="14" t="s">
        <v>0</v>
      </c>
      <c r="B3" s="72" t="s">
        <v>32</v>
      </c>
      <c r="C3" s="72" t="s">
        <v>33</v>
      </c>
      <c r="D3" s="72" t="s">
        <v>34</v>
      </c>
      <c r="E3" s="73" t="s">
        <v>87</v>
      </c>
      <c r="F3" s="73" t="s">
        <v>133</v>
      </c>
      <c r="G3" s="2"/>
      <c r="H3" s="3" t="s">
        <v>0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22" t="s">
        <v>87</v>
      </c>
      <c r="O3" s="17" t="s">
        <v>133</v>
      </c>
    </row>
    <row r="4" spans="1:18" ht="15" customHeight="1">
      <c r="A4" s="3" t="s">
        <v>1</v>
      </c>
      <c r="B4" s="42">
        <v>5282.5469999999996</v>
      </c>
      <c r="C4" s="42">
        <v>4513.3829999999998</v>
      </c>
      <c r="D4" s="42">
        <v>6881.35</v>
      </c>
      <c r="E4" s="43">
        <v>10294.790000000001</v>
      </c>
      <c r="F4" s="43">
        <v>12417.282999999999</v>
      </c>
      <c r="G4" s="11"/>
      <c r="H4" s="6" t="s">
        <v>35</v>
      </c>
      <c r="I4" s="44"/>
      <c r="J4" s="44"/>
      <c r="K4" s="44">
        <v>136.50899999999999</v>
      </c>
      <c r="L4" s="44">
        <v>136.73599999999999</v>
      </c>
      <c r="M4" s="44">
        <v>136.935</v>
      </c>
      <c r="N4" s="60">
        <v>137.40899999999999</v>
      </c>
      <c r="O4" s="48">
        <v>137.49299999999999</v>
      </c>
    </row>
    <row r="5" spans="1:18" ht="15" customHeight="1">
      <c r="A5" s="6" t="s">
        <v>6</v>
      </c>
      <c r="B5" s="44">
        <v>46.326999999999998</v>
      </c>
      <c r="C5" s="44">
        <v>42.048000000000002</v>
      </c>
      <c r="D5" s="44">
        <v>26.297000000000001</v>
      </c>
      <c r="E5" s="45">
        <v>15.879</v>
      </c>
      <c r="F5" s="45">
        <v>54.499000000000002</v>
      </c>
      <c r="H5" s="6" t="s">
        <v>36</v>
      </c>
      <c r="I5" s="44"/>
      <c r="J5" s="44"/>
      <c r="K5" s="44">
        <v>1023.712</v>
      </c>
      <c r="L5" s="44">
        <v>1071.1389999999999</v>
      </c>
      <c r="M5" s="44">
        <v>1364.4749999999999</v>
      </c>
      <c r="N5" s="60">
        <v>1759.393</v>
      </c>
      <c r="O5" s="44">
        <v>1856</v>
      </c>
    </row>
    <row r="6" spans="1:18" ht="15" customHeight="1">
      <c r="A6" s="26" t="s">
        <v>95</v>
      </c>
      <c r="B6" s="46">
        <f t="shared" ref="B6:F6" si="0">B4+B5</f>
        <v>5328.8739999999998</v>
      </c>
      <c r="C6" s="46">
        <f t="shared" si="0"/>
        <v>4555.4309999999996</v>
      </c>
      <c r="D6" s="46">
        <f t="shared" si="0"/>
        <v>6907.6469999999999</v>
      </c>
      <c r="E6" s="46">
        <f t="shared" si="0"/>
        <v>10310.669000000002</v>
      </c>
      <c r="F6" s="46">
        <f t="shared" si="0"/>
        <v>12471.781999999999</v>
      </c>
      <c r="H6" s="26" t="s">
        <v>37</v>
      </c>
      <c r="I6" s="46">
        <f t="shared" ref="I6:O6" si="1">(I4+I5)</f>
        <v>0</v>
      </c>
      <c r="J6" s="46">
        <f t="shared" si="1"/>
        <v>0</v>
      </c>
      <c r="K6" s="46">
        <f t="shared" si="1"/>
        <v>1160.221</v>
      </c>
      <c r="L6" s="46">
        <f t="shared" si="1"/>
        <v>1207.875</v>
      </c>
      <c r="M6" s="46">
        <f t="shared" si="1"/>
        <v>1501.4099999999999</v>
      </c>
      <c r="N6" s="46">
        <f t="shared" si="1"/>
        <v>1896.8020000000001</v>
      </c>
      <c r="O6" s="46">
        <f t="shared" si="1"/>
        <v>1993.4929999999999</v>
      </c>
    </row>
    <row r="7" spans="1:18" ht="15" customHeight="1">
      <c r="A7" s="24" t="s">
        <v>2</v>
      </c>
      <c r="B7" s="49"/>
      <c r="C7" s="49">
        <f t="shared" ref="C7:F7" si="2">(C6/B6-1)</f>
        <v>-0.14514191928726405</v>
      </c>
      <c r="D7" s="49">
        <f t="shared" si="2"/>
        <v>0.51635421544086624</v>
      </c>
      <c r="E7" s="49">
        <f t="shared" si="2"/>
        <v>0.49264561434595633</v>
      </c>
      <c r="F7" s="49">
        <f t="shared" si="2"/>
        <v>0.20959968746935798</v>
      </c>
      <c r="H7" s="6" t="s">
        <v>38</v>
      </c>
      <c r="I7" s="44"/>
      <c r="J7" s="44"/>
      <c r="K7" s="44">
        <v>74.376000000000005</v>
      </c>
      <c r="L7" s="44">
        <v>49.759</v>
      </c>
      <c r="M7" s="44">
        <v>46.548000000000002</v>
      </c>
      <c r="N7" s="60">
        <v>49.039000000000001</v>
      </c>
      <c r="O7" s="44">
        <v>47</v>
      </c>
    </row>
    <row r="8" spans="1:18" ht="15" customHeight="1">
      <c r="A8" s="24" t="s">
        <v>123</v>
      </c>
      <c r="B8" s="50"/>
      <c r="C8" s="50"/>
      <c r="D8" s="49"/>
      <c r="E8" s="49">
        <f>+((E6/B6)^(1/3)-1)</f>
        <v>0.24609302337863515</v>
      </c>
      <c r="F8" s="49">
        <f>+((F6/C6)^(1/3)-1)</f>
        <v>0.39894190440562549</v>
      </c>
      <c r="H8" s="6" t="s">
        <v>39</v>
      </c>
      <c r="I8" s="44"/>
      <c r="J8" s="44"/>
      <c r="K8" s="44">
        <v>14.677</v>
      </c>
      <c r="L8" s="44">
        <v>61.814999999999998</v>
      </c>
      <c r="M8" s="44">
        <v>198.19300000000001</v>
      </c>
      <c r="N8" s="60">
        <v>148.16200000000001</v>
      </c>
      <c r="O8" s="44">
        <v>284</v>
      </c>
    </row>
    <row r="9" spans="1:18" ht="15" customHeight="1">
      <c r="A9" s="26" t="s">
        <v>3</v>
      </c>
      <c r="B9" s="46">
        <f t="shared" ref="B9:F9" si="3">SUM(B10:B15)</f>
        <v>5094.2360000000008</v>
      </c>
      <c r="C9" s="46">
        <f t="shared" si="3"/>
        <v>4353.0870000000004</v>
      </c>
      <c r="D9" s="46">
        <f t="shared" si="3"/>
        <v>6327.6729999999998</v>
      </c>
      <c r="E9" s="46">
        <f t="shared" si="3"/>
        <v>9407.8409999999985</v>
      </c>
      <c r="F9" s="46">
        <f t="shared" si="3"/>
        <v>11830.192999999999</v>
      </c>
      <c r="H9" s="6" t="s">
        <v>40</v>
      </c>
      <c r="I9" s="44"/>
      <c r="J9" s="44"/>
      <c r="K9" s="44">
        <v>939.99099999999999</v>
      </c>
      <c r="L9" s="44">
        <v>963.42100000000005</v>
      </c>
      <c r="M9" s="44">
        <v>1417.3219999999999</v>
      </c>
      <c r="N9" s="60">
        <v>2107.511</v>
      </c>
      <c r="O9" s="44">
        <v>2117</v>
      </c>
    </row>
    <row r="10" spans="1:18" ht="15" customHeight="1">
      <c r="A10" s="6" t="s">
        <v>111</v>
      </c>
      <c r="B10" s="48">
        <v>4006.846</v>
      </c>
      <c r="C10" s="48">
        <v>3095.2689999999998</v>
      </c>
      <c r="D10" s="48">
        <v>5058.2960000000003</v>
      </c>
      <c r="E10" s="45">
        <v>8347.3729999999996</v>
      </c>
      <c r="F10" s="45">
        <v>10025.419</v>
      </c>
      <c r="H10" s="26" t="s">
        <v>41</v>
      </c>
      <c r="I10" s="46">
        <f t="shared" ref="I10:O10" si="4">(I8+I9)</f>
        <v>0</v>
      </c>
      <c r="J10" s="46">
        <f t="shared" si="4"/>
        <v>0</v>
      </c>
      <c r="K10" s="46">
        <f t="shared" si="4"/>
        <v>954.66800000000001</v>
      </c>
      <c r="L10" s="46">
        <f t="shared" si="4"/>
        <v>1025.2360000000001</v>
      </c>
      <c r="M10" s="46">
        <f t="shared" si="4"/>
        <v>1615.5149999999999</v>
      </c>
      <c r="N10" s="46">
        <f t="shared" si="4"/>
        <v>2255.6729999999998</v>
      </c>
      <c r="O10" s="46">
        <f t="shared" si="4"/>
        <v>2401</v>
      </c>
      <c r="P10" s="88"/>
      <c r="Q10" s="88"/>
    </row>
    <row r="11" spans="1:18" ht="15" customHeight="1">
      <c r="A11" s="6" t="s">
        <v>112</v>
      </c>
      <c r="B11" s="48">
        <v>269.69299999999998</v>
      </c>
      <c r="C11" s="48">
        <v>201.42500000000001</v>
      </c>
      <c r="D11" s="48">
        <v>333.01799999999997</v>
      </c>
      <c r="E11" s="45">
        <v>120.764</v>
      </c>
      <c r="F11" s="45">
        <v>0</v>
      </c>
      <c r="H11" s="26" t="s">
        <v>42</v>
      </c>
      <c r="I11" s="46">
        <f t="shared" ref="I11:J11" si="5">(I6+I8+I7+I45)</f>
        <v>0</v>
      </c>
      <c r="J11" s="46">
        <f t="shared" si="5"/>
        <v>0</v>
      </c>
      <c r="K11" s="46">
        <f>(K6+K8+K7+SUM(K43:K45))</f>
        <v>1260.1659999999999</v>
      </c>
      <c r="L11" s="46">
        <f>(L6+L8+L7+SUM(L43:L45))</f>
        <v>1331.5710000000001</v>
      </c>
      <c r="M11" s="46">
        <f t="shared" ref="M11:N11" si="6">(M6+M8+M7+SUM(M43:M45))</f>
        <v>1762.7509999999997</v>
      </c>
      <c r="N11" s="46">
        <f t="shared" si="6"/>
        <v>2132.038</v>
      </c>
      <c r="O11" s="46">
        <f>(O6+O8+O7+SUM(O43:O45))</f>
        <v>2378.5389999999998</v>
      </c>
      <c r="Q11" s="21">
        <f>O11+O35+O43+O45</f>
        <v>3662.5819999999999</v>
      </c>
      <c r="R11" s="1" t="s">
        <v>89</v>
      </c>
    </row>
    <row r="12" spans="1:18" ht="15" customHeight="1">
      <c r="A12" s="6" t="s">
        <v>113</v>
      </c>
      <c r="B12" s="48">
        <v>339.48399999999998</v>
      </c>
      <c r="C12" s="48">
        <v>403.45400000000001</v>
      </c>
      <c r="D12" s="48">
        <v>135.45400000000001</v>
      </c>
      <c r="E12" s="45">
        <v>180.21</v>
      </c>
      <c r="F12" s="45">
        <v>205.90799999999999</v>
      </c>
      <c r="H12" s="26" t="s">
        <v>42</v>
      </c>
      <c r="I12" s="47">
        <f t="shared" ref="I12:N12" si="7">I47-I35-I9</f>
        <v>0</v>
      </c>
      <c r="J12" s="47">
        <f t="shared" si="7"/>
        <v>0</v>
      </c>
      <c r="K12" s="47">
        <f t="shared" si="7"/>
        <v>1260.1660000000002</v>
      </c>
      <c r="L12" s="47">
        <f t="shared" si="7"/>
        <v>1331.5710000000001</v>
      </c>
      <c r="M12" s="47">
        <f t="shared" si="7"/>
        <v>1762.7510000000004</v>
      </c>
      <c r="N12" s="47">
        <f t="shared" si="7"/>
        <v>2132.038</v>
      </c>
      <c r="O12" s="47">
        <f>O47-O35-O9</f>
        <v>2378.3689999999997</v>
      </c>
      <c r="P12" s="21"/>
    </row>
    <row r="13" spans="1:18" ht="15" customHeight="1">
      <c r="A13" s="6" t="s">
        <v>114</v>
      </c>
      <c r="B13" s="48">
        <v>-94.405000000000001</v>
      </c>
      <c r="C13" s="48">
        <v>79.727000000000004</v>
      </c>
      <c r="D13" s="48">
        <v>-41.7</v>
      </c>
      <c r="E13" s="45">
        <v>-442.21100000000001</v>
      </c>
      <c r="F13" s="45">
        <v>123.10899999999999</v>
      </c>
      <c r="H13" s="6" t="s">
        <v>91</v>
      </c>
      <c r="I13" s="80">
        <f>I11-I12</f>
        <v>0</v>
      </c>
      <c r="J13" s="80"/>
      <c r="K13" s="81">
        <v>730.84199999999998</v>
      </c>
      <c r="L13" s="81">
        <v>774.12800000000004</v>
      </c>
      <c r="M13" s="81">
        <v>1015.21</v>
      </c>
      <c r="N13" s="45">
        <v>1190.442</v>
      </c>
      <c r="O13" s="45"/>
    </row>
    <row r="14" spans="1:18" ht="15" customHeight="1">
      <c r="A14" s="6" t="s">
        <v>115</v>
      </c>
      <c r="B14" s="48">
        <v>251.51</v>
      </c>
      <c r="C14" s="48">
        <v>245.751</v>
      </c>
      <c r="D14" s="48">
        <v>358.09699999999998</v>
      </c>
      <c r="E14" s="45">
        <v>520.56799999999998</v>
      </c>
      <c r="F14" s="45">
        <v>634.74</v>
      </c>
      <c r="I14" s="62"/>
      <c r="J14" s="62"/>
      <c r="K14" s="62"/>
      <c r="L14" s="62"/>
      <c r="M14" s="63"/>
      <c r="N14" s="64"/>
      <c r="O14" s="65"/>
    </row>
    <row r="15" spans="1:18" ht="15" customHeight="1">
      <c r="A15" s="6" t="s">
        <v>70</v>
      </c>
      <c r="B15" s="48">
        <v>321.108</v>
      </c>
      <c r="C15" s="48">
        <v>327.46100000000001</v>
      </c>
      <c r="D15" s="48">
        <v>484.50799999999998</v>
      </c>
      <c r="E15" s="45">
        <v>681.13699999999994</v>
      </c>
      <c r="F15" s="45">
        <v>841.01700000000005</v>
      </c>
      <c r="H15" s="6" t="s">
        <v>100</v>
      </c>
      <c r="I15" s="44"/>
      <c r="J15" s="44"/>
      <c r="K15" s="44">
        <f>524.153</f>
        <v>524.15300000000002</v>
      </c>
      <c r="L15" s="44">
        <v>453.995</v>
      </c>
      <c r="M15" s="44">
        <v>665.06299999999999</v>
      </c>
      <c r="N15" s="60">
        <v>1076.731</v>
      </c>
      <c r="O15" s="44">
        <v>1356</v>
      </c>
    </row>
    <row r="16" spans="1:18" ht="15" customHeight="1">
      <c r="A16" s="26" t="s">
        <v>4</v>
      </c>
      <c r="B16" s="46">
        <f t="shared" ref="B16:F16" si="8">(B6-B9)</f>
        <v>234.63799999999901</v>
      </c>
      <c r="C16" s="46">
        <f t="shared" si="8"/>
        <v>202.34399999999914</v>
      </c>
      <c r="D16" s="46">
        <f t="shared" si="8"/>
        <v>579.97400000000016</v>
      </c>
      <c r="E16" s="46">
        <f t="shared" si="8"/>
        <v>902.82800000000316</v>
      </c>
      <c r="F16" s="46">
        <f t="shared" si="8"/>
        <v>641.58899999999994</v>
      </c>
      <c r="H16" s="6" t="s">
        <v>101</v>
      </c>
      <c r="I16" s="44"/>
      <c r="J16" s="44"/>
      <c r="K16" s="44">
        <v>61.384</v>
      </c>
      <c r="L16" s="44">
        <v>154.34</v>
      </c>
      <c r="M16" s="44">
        <v>324.43599999999998</v>
      </c>
      <c r="N16" s="60">
        <f>238.785</f>
        <v>238.785</v>
      </c>
      <c r="O16" s="44">
        <v>462</v>
      </c>
    </row>
    <row r="17" spans="1:18" ht="15" customHeight="1">
      <c r="A17" s="24" t="s">
        <v>2</v>
      </c>
      <c r="B17" s="49"/>
      <c r="C17" s="49">
        <f t="shared" ref="C17" si="9">(C16/B16-1)</f>
        <v>-0.1376332904303651</v>
      </c>
      <c r="D17" s="49">
        <f t="shared" ref="D17" si="10">(D16/C16-1)</f>
        <v>1.8662772308543993</v>
      </c>
      <c r="E17" s="49">
        <f t="shared" ref="E17:F17" si="11">(E16/D16-1)</f>
        <v>0.55666978174884196</v>
      </c>
      <c r="F17" s="49">
        <f t="shared" si="11"/>
        <v>-0.28935633365381042</v>
      </c>
      <c r="H17" s="6" t="s">
        <v>108</v>
      </c>
      <c r="I17" s="44"/>
      <c r="J17" s="44"/>
      <c r="K17" s="44"/>
      <c r="L17" s="44">
        <v>5.0940000000000003</v>
      </c>
      <c r="M17" s="44">
        <v>4.077</v>
      </c>
      <c r="N17" s="60"/>
      <c r="O17" s="44"/>
    </row>
    <row r="18" spans="1:18" ht="15" customHeight="1">
      <c r="A18" s="24" t="s">
        <v>123</v>
      </c>
      <c r="B18" s="49"/>
      <c r="C18" s="49"/>
      <c r="D18" s="49"/>
      <c r="E18" s="49">
        <f>+((E16/B16)^(1/3)-1)</f>
        <v>0.56699961766509355</v>
      </c>
      <c r="F18" s="49">
        <f>+((F16/C16)^(1/3)-1)</f>
        <v>0.469114097206349</v>
      </c>
      <c r="H18" s="6" t="s">
        <v>102</v>
      </c>
      <c r="I18" s="44"/>
      <c r="J18" s="44"/>
      <c r="K18" s="44">
        <v>14.694000000000001</v>
      </c>
      <c r="L18" s="44">
        <v>10.944000000000001</v>
      </c>
      <c r="M18" s="44">
        <v>11.73</v>
      </c>
      <c r="N18" s="60">
        <v>12.387</v>
      </c>
      <c r="O18" s="44">
        <v>9</v>
      </c>
      <c r="Q18" s="21">
        <f>O25+O15+O21+O22+O23+O24</f>
        <v>5228</v>
      </c>
      <c r="R18" s="1" t="s">
        <v>90</v>
      </c>
    </row>
    <row r="19" spans="1:18" ht="15" customHeight="1">
      <c r="A19" s="26" t="s">
        <v>5</v>
      </c>
      <c r="B19" s="28">
        <f t="shared" ref="B19:F19" si="12">(B16/B6)</f>
        <v>4.4031440788429042E-2</v>
      </c>
      <c r="C19" s="28">
        <f t="shared" si="12"/>
        <v>4.4418190068074605E-2</v>
      </c>
      <c r="D19" s="28">
        <f t="shared" si="12"/>
        <v>8.3961152039182113E-2</v>
      </c>
      <c r="E19" s="28">
        <f t="shared" si="12"/>
        <v>8.7562504431090066E-2</v>
      </c>
      <c r="F19" s="28">
        <f t="shared" si="12"/>
        <v>5.1443250050393761E-2</v>
      </c>
      <c r="H19" s="6" t="s">
        <v>106</v>
      </c>
      <c r="I19" s="44"/>
      <c r="J19" s="44"/>
      <c r="K19" s="44">
        <v>0.41699999999999998</v>
      </c>
      <c r="L19" s="44">
        <v>0.44</v>
      </c>
      <c r="M19" s="44">
        <v>0.35899999999999999</v>
      </c>
      <c r="N19" s="60">
        <v>0.36899999999999999</v>
      </c>
      <c r="O19" s="81">
        <v>0.36599999999999999</v>
      </c>
    </row>
    <row r="20" spans="1:18" ht="15" customHeight="1">
      <c r="A20" s="6" t="s">
        <v>7</v>
      </c>
      <c r="B20" s="44">
        <v>63.625</v>
      </c>
      <c r="C20" s="44">
        <v>67.090999999999994</v>
      </c>
      <c r="D20" s="44">
        <v>58.531999999999996</v>
      </c>
      <c r="E20" s="45">
        <v>86.900999999999996</v>
      </c>
      <c r="F20" s="45">
        <v>115.649</v>
      </c>
      <c r="H20" s="6" t="s">
        <v>107</v>
      </c>
      <c r="I20" s="44"/>
      <c r="J20" s="44"/>
      <c r="K20" s="44">
        <v>39.216000000000001</v>
      </c>
      <c r="L20" s="44">
        <v>8.2650000000000006</v>
      </c>
      <c r="M20" s="44">
        <v>14.776999999999999</v>
      </c>
      <c r="N20" s="60">
        <v>15.576000000000001</v>
      </c>
      <c r="O20" s="44">
        <v>26</v>
      </c>
    </row>
    <row r="21" spans="1:18" ht="15" customHeight="1">
      <c r="A21" s="6" t="s">
        <v>116</v>
      </c>
      <c r="B21" s="44">
        <v>98.769000000000005</v>
      </c>
      <c r="C21" s="44">
        <v>75.686000000000007</v>
      </c>
      <c r="D21" s="44">
        <v>86.131</v>
      </c>
      <c r="E21" s="45">
        <v>174.036</v>
      </c>
      <c r="F21" s="45">
        <v>229.999</v>
      </c>
      <c r="H21" s="6" t="s">
        <v>105</v>
      </c>
      <c r="I21" s="44"/>
      <c r="J21" s="44"/>
      <c r="K21" s="44"/>
      <c r="L21" s="44">
        <v>0.126</v>
      </c>
      <c r="M21" s="44">
        <v>7.1260000000000003</v>
      </c>
      <c r="N21" s="60">
        <v>0.126</v>
      </c>
      <c r="O21" s="44">
        <v>0</v>
      </c>
    </row>
    <row r="22" spans="1:18" ht="15" customHeight="1">
      <c r="A22" s="6" t="s">
        <v>117</v>
      </c>
      <c r="B22" s="44">
        <v>0.22600000000000001</v>
      </c>
      <c r="C22" s="44">
        <v>2.1999999999999999E-2</v>
      </c>
      <c r="D22" s="44">
        <v>-8.1000000000000003E-2</v>
      </c>
      <c r="E22" s="45">
        <v>0.01</v>
      </c>
      <c r="F22" s="45">
        <v>-0.13600000000000001</v>
      </c>
      <c r="H22" s="6" t="s">
        <v>104</v>
      </c>
      <c r="I22" s="44"/>
      <c r="J22" s="44"/>
      <c r="K22" s="44">
        <v>19.721</v>
      </c>
      <c r="L22" s="44">
        <v>32.786000000000001</v>
      </c>
      <c r="M22" s="44">
        <v>15.481</v>
      </c>
      <c r="N22" s="60">
        <v>0</v>
      </c>
      <c r="O22" s="44">
        <v>0</v>
      </c>
    </row>
    <row r="23" spans="1:18" ht="15" customHeight="1">
      <c r="A23" s="26" t="s">
        <v>8</v>
      </c>
      <c r="B23" s="47">
        <f t="shared" ref="B23:E23" si="13">(B16-B20-B21+B22)</f>
        <v>72.469999999999004</v>
      </c>
      <c r="C23" s="47">
        <f t="shared" si="13"/>
        <v>59.588999999999125</v>
      </c>
      <c r="D23" s="47">
        <f t="shared" si="13"/>
        <v>435.23000000000013</v>
      </c>
      <c r="E23" s="47">
        <f t="shared" si="13"/>
        <v>641.90100000000325</v>
      </c>
      <c r="F23" s="47">
        <f>(F16-F20-F21+F22)</f>
        <v>295.80499999999989</v>
      </c>
      <c r="H23" s="6" t="s">
        <v>110</v>
      </c>
      <c r="I23" s="44"/>
      <c r="J23" s="44"/>
      <c r="K23" s="44"/>
      <c r="L23" s="44">
        <v>17.425000000000001</v>
      </c>
      <c r="M23" s="44">
        <v>7.7050000000000001</v>
      </c>
      <c r="N23" s="60">
        <v>7.3220000000000001</v>
      </c>
      <c r="O23" s="48">
        <v>1</v>
      </c>
    </row>
    <row r="24" spans="1:18" ht="15" customHeight="1">
      <c r="A24" s="6" t="s">
        <v>9</v>
      </c>
      <c r="B24" s="44">
        <v>-23.603000000000002</v>
      </c>
      <c r="C24" s="44">
        <v>4.76</v>
      </c>
      <c r="D24" s="44">
        <v>83.866</v>
      </c>
      <c r="E24" s="45">
        <v>165.50399999999999</v>
      </c>
      <c r="F24" s="45">
        <f>93.723+8.189</f>
        <v>101.91200000000001</v>
      </c>
      <c r="H24" s="6" t="s">
        <v>103</v>
      </c>
      <c r="I24" s="44"/>
      <c r="J24" s="44"/>
      <c r="K24" s="44">
        <v>65.256</v>
      </c>
      <c r="L24" s="44">
        <v>86.263000000000005</v>
      </c>
      <c r="M24" s="44">
        <v>108.07899999999999</v>
      </c>
      <c r="N24" s="60">
        <v>100.464</v>
      </c>
      <c r="O24" s="44">
        <v>175</v>
      </c>
    </row>
    <row r="25" spans="1:18" ht="15" customHeight="1">
      <c r="A25" s="24" t="s">
        <v>10</v>
      </c>
      <c r="B25" s="49" t="s">
        <v>92</v>
      </c>
      <c r="C25" s="49">
        <f t="shared" ref="C25:F25" si="14">(C24/C23)</f>
        <v>7.9880514860126359E-2</v>
      </c>
      <c r="D25" s="49">
        <f t="shared" si="14"/>
        <v>0.19269351836959764</v>
      </c>
      <c r="E25" s="49">
        <f t="shared" si="14"/>
        <v>0.25783415199539983</v>
      </c>
      <c r="F25" s="49">
        <f t="shared" si="14"/>
        <v>0.34452426429573552</v>
      </c>
      <c r="H25" s="26" t="s">
        <v>43</v>
      </c>
      <c r="I25" s="46">
        <f t="shared" ref="I25:O25" si="15">SUM(I26:I34)</f>
        <v>0</v>
      </c>
      <c r="J25" s="46">
        <f t="shared" si="15"/>
        <v>0</v>
      </c>
      <c r="K25" s="46">
        <f t="shared" si="15"/>
        <v>1776.6420000000001</v>
      </c>
      <c r="L25" s="46">
        <f t="shared" si="15"/>
        <v>1672.5510000000002</v>
      </c>
      <c r="M25" s="46">
        <f t="shared" si="15"/>
        <v>2392.7440000000001</v>
      </c>
      <c r="N25" s="46">
        <f t="shared" si="15"/>
        <v>3466.2029999999995</v>
      </c>
      <c r="O25" s="46">
        <f t="shared" si="15"/>
        <v>3696</v>
      </c>
    </row>
    <row r="26" spans="1:18" ht="15" customHeight="1">
      <c r="A26" s="26" t="s">
        <v>11</v>
      </c>
      <c r="B26" s="47">
        <f t="shared" ref="B26:F26" si="16">(B23-B24)</f>
        <v>96.072999999999013</v>
      </c>
      <c r="C26" s="47">
        <f t="shared" si="16"/>
        <v>54.828999999999127</v>
      </c>
      <c r="D26" s="47">
        <f t="shared" si="16"/>
        <v>351.36400000000015</v>
      </c>
      <c r="E26" s="47">
        <f t="shared" si="16"/>
        <v>476.39700000000323</v>
      </c>
      <c r="F26" s="47">
        <f t="shared" si="16"/>
        <v>193.89299999999989</v>
      </c>
      <c r="H26" s="6" t="s">
        <v>44</v>
      </c>
      <c r="I26" s="44"/>
      <c r="J26" s="44"/>
      <c r="K26" s="44">
        <v>894.57500000000005</v>
      </c>
      <c r="L26" s="44">
        <v>753.86300000000006</v>
      </c>
      <c r="M26" s="44">
        <v>1093.693</v>
      </c>
      <c r="N26" s="60">
        <v>1584.8340000000001</v>
      </c>
      <c r="O26" s="44">
        <v>1826</v>
      </c>
    </row>
    <row r="27" spans="1:18" ht="15" customHeight="1">
      <c r="A27" s="26" t="s">
        <v>81</v>
      </c>
      <c r="B27" s="29">
        <f t="shared" ref="B27:F27" si="17">B26/B6</f>
        <v>1.802876179845855E-2</v>
      </c>
      <c r="C27" s="29">
        <f t="shared" si="17"/>
        <v>1.2035963227189509E-2</v>
      </c>
      <c r="D27" s="29">
        <f t="shared" si="17"/>
        <v>5.0865946102920452E-2</v>
      </c>
      <c r="E27" s="29">
        <f t="shared" si="17"/>
        <v>4.6204276366548391E-2</v>
      </c>
      <c r="F27" s="29">
        <f t="shared" si="17"/>
        <v>1.5546535370807468E-2</v>
      </c>
      <c r="H27" s="6" t="s">
        <v>45</v>
      </c>
      <c r="I27" s="44"/>
      <c r="J27" s="44"/>
      <c r="K27" s="44">
        <v>265.45800000000003</v>
      </c>
      <c r="L27" s="44">
        <v>341.39499999999998</v>
      </c>
      <c r="M27" s="44">
        <v>602.66800000000001</v>
      </c>
      <c r="N27" s="60">
        <v>1131.5360000000001</v>
      </c>
      <c r="O27" s="44">
        <v>965</v>
      </c>
    </row>
    <row r="28" spans="1:18" ht="15" customHeight="1">
      <c r="A28" s="6" t="s">
        <v>12</v>
      </c>
      <c r="B28" s="7">
        <v>29.887</v>
      </c>
      <c r="C28" s="7">
        <v>11.125999999999999</v>
      </c>
      <c r="D28" s="7"/>
      <c r="E28" s="12"/>
      <c r="F28" s="12"/>
      <c r="H28" s="6" t="s">
        <v>46</v>
      </c>
      <c r="I28" s="44"/>
      <c r="J28" s="44"/>
      <c r="K28" s="44">
        <f>66.801</f>
        <v>66.801000000000002</v>
      </c>
      <c r="L28" s="44">
        <f>85.462+59.033</f>
        <v>144.495</v>
      </c>
      <c r="M28" s="44">
        <f>102.65+74.973</f>
        <v>177.62299999999999</v>
      </c>
      <c r="N28" s="60">
        <f>62.722+103.088</f>
        <v>165.81</v>
      </c>
      <c r="O28" s="48">
        <v>219</v>
      </c>
      <c r="P28" s="21">
        <f>N35+N9</f>
        <v>2785.9250000000002</v>
      </c>
    </row>
    <row r="29" spans="1:18" ht="15" customHeight="1">
      <c r="A29" s="6" t="s">
        <v>71</v>
      </c>
      <c r="B29" s="7"/>
      <c r="C29" s="7"/>
      <c r="D29" s="7">
        <v>-22.738</v>
      </c>
      <c r="E29" s="12">
        <v>10.752000000000001</v>
      </c>
      <c r="F29" s="12">
        <v>5.6609999999999996</v>
      </c>
      <c r="H29" s="6" t="s">
        <v>85</v>
      </c>
      <c r="I29" s="44"/>
      <c r="J29" s="44"/>
      <c r="K29" s="44"/>
      <c r="L29" s="44">
        <v>0</v>
      </c>
      <c r="M29" s="44"/>
      <c r="N29" s="60">
        <v>24.481999999999999</v>
      </c>
      <c r="O29" s="44">
        <v>44</v>
      </c>
    </row>
    <row r="30" spans="1:18" ht="15" customHeight="1">
      <c r="A30" s="26" t="s">
        <v>13</v>
      </c>
      <c r="B30" s="27">
        <f t="shared" ref="B30:F30" si="18">(B26-B28+B29)</f>
        <v>66.185999999999012</v>
      </c>
      <c r="C30" s="27">
        <f t="shared" si="18"/>
        <v>43.702999999999129</v>
      </c>
      <c r="D30" s="27">
        <f t="shared" si="18"/>
        <v>328.62600000000015</v>
      </c>
      <c r="E30" s="27">
        <f t="shared" si="18"/>
        <v>487.14900000000324</v>
      </c>
      <c r="F30" s="27">
        <f t="shared" si="18"/>
        <v>199.55399999999989</v>
      </c>
      <c r="H30" s="6" t="s">
        <v>68</v>
      </c>
      <c r="I30" s="44"/>
      <c r="J30" s="44"/>
      <c r="K30" s="44">
        <v>58.201999999999998</v>
      </c>
      <c r="L30" s="44">
        <v>428.16699999999997</v>
      </c>
      <c r="M30" s="44">
        <v>500.40699999999998</v>
      </c>
      <c r="N30" s="60">
        <v>546.70299999999997</v>
      </c>
      <c r="O30" s="44">
        <v>625</v>
      </c>
    </row>
    <row r="31" spans="1:18" ht="15" customHeight="1">
      <c r="A31" s="24" t="s">
        <v>2</v>
      </c>
      <c r="B31" s="49"/>
      <c r="C31" s="51">
        <f t="shared" ref="C31:D31" si="19">(C30/B30-1)</f>
        <v>-0.33969419514701327</v>
      </c>
      <c r="D31" s="51">
        <f t="shared" si="19"/>
        <v>6.5195295517471727</v>
      </c>
      <c r="E31" s="51">
        <f>(E30/D30-1)</f>
        <v>0.48238118712458244</v>
      </c>
      <c r="F31" s="51">
        <f>(F30/E30-1)</f>
        <v>-0.59036352327522268</v>
      </c>
      <c r="H31" s="6" t="s">
        <v>69</v>
      </c>
      <c r="I31" s="44"/>
      <c r="J31" s="44"/>
      <c r="K31" s="44"/>
      <c r="L31" s="44">
        <v>0</v>
      </c>
      <c r="M31" s="44"/>
      <c r="N31" s="60"/>
      <c r="O31" s="44"/>
    </row>
    <row r="32" spans="1:18" ht="15" customHeight="1">
      <c r="A32" s="24" t="s">
        <v>123</v>
      </c>
      <c r="B32" s="49"/>
      <c r="C32" s="49"/>
      <c r="D32" s="49"/>
      <c r="E32" s="49">
        <f>+((E30/B30)^(1/3)-1)</f>
        <v>0.94520432629538065</v>
      </c>
      <c r="F32" s="49">
        <f>+((F30/C30)^(1/3)-1)</f>
        <v>0.65901277055534258</v>
      </c>
      <c r="H32" s="6" t="s">
        <v>41</v>
      </c>
      <c r="I32" s="44"/>
      <c r="J32" s="44"/>
      <c r="K32" s="44">
        <v>491.60599999999999</v>
      </c>
      <c r="L32" s="44">
        <v>3.4790000000000001</v>
      </c>
      <c r="M32" s="44">
        <v>10.355</v>
      </c>
      <c r="N32" s="60">
        <v>12.662000000000001</v>
      </c>
      <c r="O32" s="44">
        <v>9</v>
      </c>
    </row>
    <row r="33" spans="1:15">
      <c r="A33" s="3" t="s">
        <v>14</v>
      </c>
      <c r="B33" s="52">
        <v>0.96</v>
      </c>
      <c r="C33" s="52">
        <v>0.63</v>
      </c>
      <c r="D33" s="52">
        <v>4.74</v>
      </c>
      <c r="E33" s="53">
        <v>6.39</v>
      </c>
      <c r="F33" s="53">
        <v>2.25</v>
      </c>
      <c r="H33" s="6" t="s">
        <v>118</v>
      </c>
      <c r="I33" s="44"/>
      <c r="J33" s="44"/>
      <c r="K33" s="44"/>
      <c r="L33" s="44">
        <v>0</v>
      </c>
      <c r="M33" s="44">
        <v>7.9980000000000002</v>
      </c>
      <c r="N33" s="60">
        <v>0.17599999999999999</v>
      </c>
      <c r="O33" s="44">
        <v>8</v>
      </c>
    </row>
    <row r="34" spans="1:15">
      <c r="A34" s="30" t="s">
        <v>2</v>
      </c>
      <c r="B34" s="54"/>
      <c r="C34" s="54">
        <f t="shared" ref="C34:D34" si="20">(C33/B33-1)</f>
        <v>-0.34375</v>
      </c>
      <c r="D34" s="54">
        <f t="shared" si="20"/>
        <v>6.5238095238095237</v>
      </c>
      <c r="E34" s="54">
        <f>(E33/D33-1)</f>
        <v>0.34810126582278467</v>
      </c>
      <c r="F34" s="54">
        <f>(F33/E33-1)</f>
        <v>-0.647887323943662</v>
      </c>
      <c r="G34" s="2"/>
      <c r="H34" s="6" t="s">
        <v>109</v>
      </c>
      <c r="I34" s="61"/>
      <c r="J34" s="61"/>
      <c r="K34" s="61"/>
      <c r="L34" s="44">
        <v>1.1519999999999999</v>
      </c>
      <c r="M34" s="44"/>
      <c r="N34" s="60"/>
      <c r="O34" s="44"/>
    </row>
    <row r="35" spans="1:15" ht="12">
      <c r="A35" s="30" t="s">
        <v>124</v>
      </c>
      <c r="B35" s="38"/>
      <c r="C35" s="31"/>
      <c r="D35" s="31"/>
      <c r="E35" s="54">
        <f>+((E33/B33)^(1/3)-1)</f>
        <v>0.88109130091027521</v>
      </c>
      <c r="F35" s="54">
        <f>+((F33/C33)^(1/3)-1)</f>
        <v>0.52855354366439933</v>
      </c>
      <c r="G35" s="2"/>
      <c r="H35" s="26" t="s">
        <v>47</v>
      </c>
      <c r="I35" s="46">
        <f t="shared" ref="I35:O35" si="21">SUM(I36:I41)</f>
        <v>0</v>
      </c>
      <c r="J35" s="46">
        <f t="shared" si="21"/>
        <v>0</v>
      </c>
      <c r="K35" s="46">
        <f t="shared" si="21"/>
        <v>301.32600000000002</v>
      </c>
      <c r="L35" s="46">
        <f t="shared" si="21"/>
        <v>147.23699999999999</v>
      </c>
      <c r="M35" s="46">
        <f t="shared" si="21"/>
        <v>371.50400000000008</v>
      </c>
      <c r="N35" s="46">
        <f t="shared" si="21"/>
        <v>678.41399999999999</v>
      </c>
      <c r="O35" s="46">
        <f t="shared" si="21"/>
        <v>1229.9970000000001</v>
      </c>
    </row>
    <row r="36" spans="1:15">
      <c r="G36" s="2"/>
      <c r="H36" s="6" t="s">
        <v>83</v>
      </c>
      <c r="I36" s="44"/>
      <c r="J36" s="44"/>
      <c r="K36" s="44">
        <v>130.404</v>
      </c>
      <c r="L36" s="44">
        <v>81.822000000000003</v>
      </c>
      <c r="M36" s="44">
        <v>141.00200000000001</v>
      </c>
      <c r="N36" s="60">
        <v>474.85899999999998</v>
      </c>
      <c r="O36" s="48">
        <v>982</v>
      </c>
    </row>
    <row r="37" spans="1:15">
      <c r="G37" s="2"/>
      <c r="H37" s="6" t="s">
        <v>84</v>
      </c>
      <c r="I37" s="61"/>
      <c r="J37" s="61"/>
      <c r="K37" s="61"/>
      <c r="L37" s="44">
        <v>11.891</v>
      </c>
      <c r="M37" s="44">
        <v>45.424999999999997</v>
      </c>
      <c r="N37" s="60">
        <v>83.171000000000006</v>
      </c>
      <c r="O37" s="44">
        <v>107</v>
      </c>
    </row>
    <row r="38" spans="1:15">
      <c r="A38" s="2" t="s">
        <v>15</v>
      </c>
      <c r="H38" s="6" t="s">
        <v>79</v>
      </c>
      <c r="I38" s="61"/>
      <c r="J38" s="61"/>
      <c r="K38" s="48">
        <v>145.77799999999999</v>
      </c>
      <c r="L38" s="44">
        <v>47.406999999999996</v>
      </c>
      <c r="M38" s="44">
        <v>147.67699999999999</v>
      </c>
      <c r="N38" s="60">
        <v>53.869</v>
      </c>
      <c r="O38" s="44">
        <v>101</v>
      </c>
    </row>
    <row r="39" spans="1:15">
      <c r="A39" s="3" t="s">
        <v>0</v>
      </c>
      <c r="B39" s="74" t="s">
        <v>32</v>
      </c>
      <c r="C39" s="74" t="s">
        <v>33</v>
      </c>
      <c r="D39" s="74" t="s">
        <v>34</v>
      </c>
      <c r="E39" s="74" t="s">
        <v>87</v>
      </c>
      <c r="F39" s="18"/>
      <c r="H39" s="6" t="s">
        <v>98</v>
      </c>
      <c r="I39" s="44"/>
      <c r="J39" s="44"/>
      <c r="K39" s="44">
        <v>25.143999999999998</v>
      </c>
      <c r="L39" s="44">
        <v>2.3039999999999998</v>
      </c>
      <c r="M39" s="44">
        <v>4.1189999999999998</v>
      </c>
      <c r="N39" s="60">
        <v>5.2619999999999996</v>
      </c>
      <c r="O39" s="44">
        <v>3.9969999999999999</v>
      </c>
    </row>
    <row r="40" spans="1:15">
      <c r="A40" s="3" t="s">
        <v>16</v>
      </c>
      <c r="B40" s="42">
        <v>35.057000000000002</v>
      </c>
      <c r="C40" s="55">
        <f>B45</f>
        <v>66.522999999999996</v>
      </c>
      <c r="D40" s="55">
        <f>C45</f>
        <v>85.462000000000018</v>
      </c>
      <c r="E40" s="55">
        <f>D45</f>
        <v>102.65</v>
      </c>
      <c r="F40" s="19"/>
      <c r="H40" s="6" t="s">
        <v>99</v>
      </c>
      <c r="I40" s="44"/>
      <c r="J40" s="44"/>
      <c r="K40" s="44"/>
      <c r="L40" s="44">
        <v>3.8130000000000002</v>
      </c>
      <c r="M40" s="44">
        <v>33.280999999999999</v>
      </c>
      <c r="N40" s="60">
        <v>61.253</v>
      </c>
      <c r="O40" s="44">
        <v>36</v>
      </c>
    </row>
    <row r="41" spans="1:15">
      <c r="A41" s="3" t="s">
        <v>17</v>
      </c>
      <c r="B41" s="42">
        <v>-2.7109999999999999</v>
      </c>
      <c r="C41" s="42">
        <v>288.90800000000002</v>
      </c>
      <c r="D41" s="42">
        <v>9.9770000000000003</v>
      </c>
      <c r="E41" s="42">
        <v>-25.477</v>
      </c>
      <c r="F41" s="19"/>
      <c r="H41" s="6"/>
      <c r="I41" s="44"/>
      <c r="J41" s="44"/>
      <c r="K41" s="44"/>
      <c r="L41" s="44"/>
      <c r="M41" s="44"/>
      <c r="N41" s="60"/>
      <c r="O41" s="44"/>
    </row>
    <row r="42" spans="1:15">
      <c r="A42" s="6" t="s">
        <v>80</v>
      </c>
      <c r="B42" s="44">
        <v>-23.722000000000001</v>
      </c>
      <c r="C42" s="44">
        <v>-103.67100000000001</v>
      </c>
      <c r="D42" s="44">
        <v>-486.41399999999999</v>
      </c>
      <c r="E42" s="44">
        <v>-419.21600000000001</v>
      </c>
      <c r="F42" s="20"/>
      <c r="H42" s="26" t="s">
        <v>48</v>
      </c>
      <c r="I42" s="46">
        <f t="shared" ref="I42:O42" si="22">(I25-I35-I9)</f>
        <v>0</v>
      </c>
      <c r="J42" s="46">
        <f t="shared" si="22"/>
        <v>0</v>
      </c>
      <c r="K42" s="46">
        <f t="shared" si="22"/>
        <v>535.32500000000005</v>
      </c>
      <c r="L42" s="46">
        <f t="shared" si="22"/>
        <v>561.89300000000003</v>
      </c>
      <c r="M42" s="46">
        <f t="shared" si="22"/>
        <v>603.91800000000012</v>
      </c>
      <c r="N42" s="46">
        <f t="shared" si="22"/>
        <v>680.27799999999979</v>
      </c>
      <c r="O42" s="46">
        <f t="shared" si="22"/>
        <v>349.0029999999997</v>
      </c>
    </row>
    <row r="43" spans="1:15">
      <c r="A43" s="6" t="s">
        <v>18</v>
      </c>
      <c r="B43" s="44">
        <v>57.899000000000001</v>
      </c>
      <c r="C43" s="44">
        <v>-166.298</v>
      </c>
      <c r="D43" s="44">
        <v>493.625</v>
      </c>
      <c r="E43" s="44">
        <v>404.76499999999999</v>
      </c>
      <c r="F43" s="20"/>
      <c r="H43" s="6" t="s">
        <v>49</v>
      </c>
      <c r="I43" s="44"/>
      <c r="J43" s="44"/>
      <c r="K43" s="44">
        <v>1.056</v>
      </c>
      <c r="L43" s="44">
        <v>1.056</v>
      </c>
      <c r="M43" s="44">
        <v>16.600000000000001</v>
      </c>
      <c r="N43" s="60">
        <v>14.868</v>
      </c>
      <c r="O43" s="44">
        <v>23.045999999999999</v>
      </c>
    </row>
    <row r="44" spans="1:15">
      <c r="A44" s="3" t="s">
        <v>19</v>
      </c>
      <c r="B44" s="46">
        <f t="shared" ref="B44:E44" si="23">+B41+B42+B43</f>
        <v>31.466000000000001</v>
      </c>
      <c r="C44" s="46">
        <f t="shared" si="23"/>
        <v>18.939000000000021</v>
      </c>
      <c r="D44" s="46">
        <f t="shared" si="23"/>
        <v>17.187999999999988</v>
      </c>
      <c r="E44" s="46">
        <f t="shared" si="23"/>
        <v>-39.927999999999997</v>
      </c>
      <c r="F44" s="19"/>
      <c r="H44" s="6" t="s">
        <v>86</v>
      </c>
      <c r="I44" s="44"/>
      <c r="J44" s="44"/>
      <c r="K44" s="44"/>
      <c r="L44" s="44"/>
      <c r="M44" s="44"/>
      <c r="N44" s="60"/>
      <c r="O44" s="44"/>
    </row>
    <row r="45" spans="1:15">
      <c r="A45" s="3" t="s">
        <v>73</v>
      </c>
      <c r="B45" s="46">
        <f t="shared" ref="B45:D45" si="24">B44+B40</f>
        <v>66.522999999999996</v>
      </c>
      <c r="C45" s="46">
        <f t="shared" si="24"/>
        <v>85.462000000000018</v>
      </c>
      <c r="D45" s="46">
        <f t="shared" si="24"/>
        <v>102.65</v>
      </c>
      <c r="E45" s="46">
        <f>E44+E40</f>
        <v>62.722000000000008</v>
      </c>
      <c r="F45" s="19"/>
      <c r="H45" s="6" t="s">
        <v>72</v>
      </c>
      <c r="I45" s="44"/>
      <c r="J45" s="44"/>
      <c r="K45" s="44">
        <v>9.8360000000000003</v>
      </c>
      <c r="L45" s="44">
        <v>11.066000000000001</v>
      </c>
      <c r="M45" s="44"/>
      <c r="N45" s="60">
        <v>23.167000000000002</v>
      </c>
      <c r="O45" s="44">
        <v>31</v>
      </c>
    </row>
    <row r="46" spans="1:15">
      <c r="H46" s="3"/>
      <c r="I46" s="55"/>
      <c r="J46" s="55"/>
      <c r="K46" s="55"/>
      <c r="L46" s="55"/>
      <c r="M46" s="55"/>
      <c r="N46" s="66"/>
      <c r="O46" s="43"/>
    </row>
    <row r="47" spans="1:15">
      <c r="A47" s="9" t="s">
        <v>20</v>
      </c>
      <c r="B47" s="74" t="s">
        <v>32</v>
      </c>
      <c r="C47" s="74" t="s">
        <v>33</v>
      </c>
      <c r="D47" s="74" t="s">
        <v>34</v>
      </c>
      <c r="E47" s="75" t="s">
        <v>87</v>
      </c>
      <c r="F47" s="76"/>
      <c r="H47" s="26" t="s">
        <v>93</v>
      </c>
      <c r="I47" s="47">
        <f t="shared" ref="I47:O47" si="25">SUM(I15:I24)+I25</f>
        <v>0</v>
      </c>
      <c r="J47" s="47">
        <f t="shared" si="25"/>
        <v>0</v>
      </c>
      <c r="K47" s="47">
        <f t="shared" si="25"/>
        <v>2501.4830000000002</v>
      </c>
      <c r="L47" s="47">
        <f t="shared" si="25"/>
        <v>2442.2290000000003</v>
      </c>
      <c r="M47" s="47">
        <f t="shared" si="25"/>
        <v>3551.5770000000002</v>
      </c>
      <c r="N47" s="47">
        <f t="shared" si="25"/>
        <v>4917.9629999999997</v>
      </c>
      <c r="O47" s="47">
        <f t="shared" si="25"/>
        <v>5725.366</v>
      </c>
    </row>
    <row r="48" spans="1:15">
      <c r="A48" s="6" t="s">
        <v>21</v>
      </c>
      <c r="B48" s="57">
        <f t="shared" ref="B48:E48" si="26">B23</f>
        <v>72.469999999999004</v>
      </c>
      <c r="C48" s="57">
        <f t="shared" si="26"/>
        <v>59.588999999999125</v>
      </c>
      <c r="D48" s="57">
        <f t="shared" si="26"/>
        <v>435.23000000000013</v>
      </c>
      <c r="E48" s="58">
        <f t="shared" si="26"/>
        <v>641.90100000000325</v>
      </c>
      <c r="F48" s="77"/>
      <c r="H48" s="26" t="s">
        <v>94</v>
      </c>
      <c r="I48" s="47">
        <f t="shared" ref="I48:K48" si="27">I45+I35+I10+I6+I43+I44+I46+I7</f>
        <v>0</v>
      </c>
      <c r="J48" s="47">
        <f t="shared" si="27"/>
        <v>0</v>
      </c>
      <c r="K48" s="47">
        <f t="shared" si="27"/>
        <v>2501.4830000000002</v>
      </c>
      <c r="L48" s="47">
        <f>L45+L35+L10+L6+L43+L44+L46+L7</f>
        <v>2442.2290000000003</v>
      </c>
      <c r="M48" s="47">
        <f t="shared" ref="M48:O48" si="28">M45+M35+M10+M6+M43+M44+M46+M7</f>
        <v>3551.5770000000002</v>
      </c>
      <c r="N48" s="47">
        <f t="shared" si="28"/>
        <v>4917.9630000000006</v>
      </c>
      <c r="O48" s="47">
        <f t="shared" si="28"/>
        <v>5725.5360000000001</v>
      </c>
    </row>
    <row r="49" spans="1:15">
      <c r="A49" s="6" t="s">
        <v>22</v>
      </c>
      <c r="B49" s="57">
        <f>B20</f>
        <v>63.625</v>
      </c>
      <c r="C49" s="57">
        <f t="shared" ref="C49:E49" si="29">C20</f>
        <v>67.090999999999994</v>
      </c>
      <c r="D49" s="57">
        <f t="shared" si="29"/>
        <v>58.531999999999996</v>
      </c>
      <c r="E49" s="58">
        <f t="shared" si="29"/>
        <v>86.900999999999996</v>
      </c>
      <c r="F49" s="77"/>
      <c r="H49" s="2" t="s">
        <v>50</v>
      </c>
    </row>
    <row r="50" spans="1:15" ht="14.5">
      <c r="A50" s="6" t="s">
        <v>23</v>
      </c>
      <c r="B50" s="57">
        <f>150.5-B49</f>
        <v>86.875</v>
      </c>
      <c r="C50" s="57">
        <f>177-C49</f>
        <v>109.90900000000001</v>
      </c>
      <c r="D50" s="57">
        <f>181.41-D49</f>
        <v>122.878</v>
      </c>
      <c r="E50" s="57">
        <f>282.8-E49</f>
        <v>195.899</v>
      </c>
      <c r="F50" s="78"/>
      <c r="H50" s="3" t="s">
        <v>51</v>
      </c>
      <c r="I50" s="4" t="s">
        <v>30</v>
      </c>
      <c r="J50" s="4" t="s">
        <v>31</v>
      </c>
      <c r="K50" s="4" t="s">
        <v>32</v>
      </c>
      <c r="L50" s="4" t="s">
        <v>33</v>
      </c>
      <c r="M50" s="4" t="s">
        <v>34</v>
      </c>
      <c r="N50" s="17" t="s">
        <v>87</v>
      </c>
      <c r="O50" s="89" t="s">
        <v>133</v>
      </c>
    </row>
    <row r="51" spans="1:15">
      <c r="A51" s="6" t="s">
        <v>24</v>
      </c>
      <c r="B51" s="57">
        <v>-212.1</v>
      </c>
      <c r="C51" s="57">
        <v>65.3</v>
      </c>
      <c r="D51" s="57">
        <v>-585</v>
      </c>
      <c r="E51" s="58">
        <v>-845.5</v>
      </c>
      <c r="F51" s="78"/>
      <c r="H51" s="5" t="s">
        <v>52</v>
      </c>
      <c r="I51" s="39"/>
      <c r="J51" s="39"/>
      <c r="K51" s="39">
        <v>36.700000000000003</v>
      </c>
      <c r="L51" s="39">
        <v>24.3</v>
      </c>
      <c r="M51" s="39">
        <v>50.6</v>
      </c>
      <c r="N51" s="67">
        <v>156.25</v>
      </c>
      <c r="O51" s="39">
        <v>81.650000000000006</v>
      </c>
    </row>
    <row r="52" spans="1:15">
      <c r="A52" s="6" t="s">
        <v>25</v>
      </c>
      <c r="B52" s="57">
        <v>-13.6</v>
      </c>
      <c r="C52" s="57">
        <v>-12.9</v>
      </c>
      <c r="D52" s="57">
        <v>-24.4</v>
      </c>
      <c r="E52" s="58">
        <v>-104.7</v>
      </c>
      <c r="F52" s="78"/>
      <c r="H52" s="27" t="s">
        <v>53</v>
      </c>
      <c r="I52" s="34" t="e">
        <f>#REF!</f>
        <v>#REF!</v>
      </c>
      <c r="J52" s="34" t="e">
        <f>#REF!</f>
        <v>#REF!</v>
      </c>
      <c r="K52" s="34">
        <f t="shared" ref="K52" si="30">B33</f>
        <v>0.96</v>
      </c>
      <c r="L52" s="34">
        <f t="shared" ref="L52" si="31">C33</f>
        <v>0.63</v>
      </c>
      <c r="M52" s="34">
        <f t="shared" ref="M52" si="32">D33</f>
        <v>4.74</v>
      </c>
      <c r="N52" s="34">
        <f t="shared" ref="N52" si="33">E33</f>
        <v>6.39</v>
      </c>
      <c r="O52" s="34">
        <f t="shared" ref="O52" si="34">F33</f>
        <v>2.25</v>
      </c>
    </row>
    <row r="53" spans="1:15">
      <c r="A53" s="3" t="s">
        <v>26</v>
      </c>
      <c r="B53" s="46">
        <f t="shared" ref="B53:E53" si="35">SUM(B48:B52)</f>
        <v>-2.7300000000009899</v>
      </c>
      <c r="C53" s="46">
        <f t="shared" si="35"/>
        <v>288.98899999999918</v>
      </c>
      <c r="D53" s="46">
        <f t="shared" si="35"/>
        <v>7.2400000000001015</v>
      </c>
      <c r="E53" s="47">
        <f t="shared" si="35"/>
        <v>-25.498999999996798</v>
      </c>
      <c r="F53" s="78"/>
      <c r="H53" s="35" t="s">
        <v>54</v>
      </c>
      <c r="I53" s="33" t="e">
        <f>(I6*1000000)/#REF!</f>
        <v>#REF!</v>
      </c>
      <c r="J53" s="33" t="e">
        <f>(J6*1000000)/#REF!</f>
        <v>#REF!</v>
      </c>
      <c r="K53" s="33">
        <f t="shared" ref="K53" si="36">(K6*1000000)/B58</f>
        <v>16.998434888865624</v>
      </c>
      <c r="L53" s="33">
        <f t="shared" ref="L53" si="37">(L6*1000000)/C58</f>
        <v>17.667231028319218</v>
      </c>
      <c r="M53" s="33">
        <f t="shared" ref="M53" si="38">(M6*1000000)/D58</f>
        <v>21.928793851051751</v>
      </c>
      <c r="N53" s="33">
        <f t="shared" ref="N53" si="39">(N6*1000000)/E58</f>
        <v>27.608073018210977</v>
      </c>
      <c r="O53" s="33">
        <f t="shared" ref="O53" si="40">(O6*1000000)/F58</f>
        <v>28.99764780030068</v>
      </c>
    </row>
    <row r="54" spans="1:15">
      <c r="A54" s="6" t="s">
        <v>27</v>
      </c>
      <c r="B54" s="57">
        <v>-45.32</v>
      </c>
      <c r="C54" s="57">
        <v>-188.499</v>
      </c>
      <c r="D54" s="57">
        <v>-467.60599999999999</v>
      </c>
      <c r="E54" s="58">
        <v>-405.327</v>
      </c>
      <c r="F54" s="78"/>
      <c r="H54" s="7" t="s">
        <v>55</v>
      </c>
      <c r="I54" s="40"/>
      <c r="J54" s="56"/>
      <c r="K54" s="56"/>
      <c r="L54" s="56">
        <v>0.2</v>
      </c>
      <c r="M54" s="56">
        <v>0.6</v>
      </c>
      <c r="N54" s="41">
        <v>0.7</v>
      </c>
      <c r="O54" s="41">
        <v>0.3</v>
      </c>
    </row>
    <row r="55" spans="1:15">
      <c r="A55" s="26" t="s">
        <v>28</v>
      </c>
      <c r="B55" s="46">
        <f t="shared" ref="B55:E55" si="41">SUM(B53:B54)</f>
        <v>-48.050000000000992</v>
      </c>
      <c r="C55" s="46">
        <f t="shared" si="41"/>
        <v>100.48999999999918</v>
      </c>
      <c r="D55" s="46">
        <f t="shared" si="41"/>
        <v>-460.36599999999987</v>
      </c>
      <c r="E55" s="47">
        <f t="shared" si="41"/>
        <v>-430.82599999999678</v>
      </c>
      <c r="F55" s="78"/>
      <c r="H55" s="7" t="s">
        <v>56</v>
      </c>
      <c r="I55" s="33" t="e">
        <f t="shared" ref="I55:N55" si="42">(I51/I52)</f>
        <v>#REF!</v>
      </c>
      <c r="J55" s="33" t="e">
        <f t="shared" si="42"/>
        <v>#REF!</v>
      </c>
      <c r="K55" s="33">
        <f t="shared" si="42"/>
        <v>38.229166666666671</v>
      </c>
      <c r="L55" s="33">
        <f t="shared" si="42"/>
        <v>38.571428571428569</v>
      </c>
      <c r="M55" s="33">
        <f t="shared" si="42"/>
        <v>10.675105485232068</v>
      </c>
      <c r="N55" s="33">
        <f t="shared" si="42"/>
        <v>24.452269170579029</v>
      </c>
      <c r="O55" s="33">
        <f t="shared" ref="O55" si="43">(O51/O52)</f>
        <v>36.288888888888891</v>
      </c>
    </row>
    <row r="56" spans="1:15">
      <c r="A56" s="1" t="s">
        <v>29</v>
      </c>
      <c r="H56" s="7" t="s">
        <v>57</v>
      </c>
      <c r="I56" s="33" t="e">
        <f t="shared" ref="I56:N56" si="44">(I51/I53)</f>
        <v>#REF!</v>
      </c>
      <c r="J56" s="33" t="e">
        <f t="shared" si="44"/>
        <v>#REF!</v>
      </c>
      <c r="K56" s="33">
        <f t="shared" si="44"/>
        <v>2.1590223005789415</v>
      </c>
      <c r="L56" s="33">
        <f t="shared" si="44"/>
        <v>1.3754277600745108</v>
      </c>
      <c r="M56" s="33">
        <f t="shared" si="44"/>
        <v>2.3074684519218609</v>
      </c>
      <c r="N56" s="33">
        <f t="shared" si="44"/>
        <v>5.659576454210824</v>
      </c>
      <c r="O56" s="33">
        <f t="shared" ref="O56" si="45">(O51/O53)</f>
        <v>2.8157456274489054</v>
      </c>
    </row>
    <row r="57" spans="1:15">
      <c r="H57" s="7" t="s">
        <v>58</v>
      </c>
      <c r="I57" s="33" t="e">
        <f>#REF!/#REF!</f>
        <v>#REF!</v>
      </c>
      <c r="J57" s="33" t="e">
        <f>#REF!/#REF!</f>
        <v>#REF!</v>
      </c>
      <c r="K57" s="33">
        <f t="shared" ref="K57" si="46">B62/B16</f>
        <v>14.459763604360823</v>
      </c>
      <c r="L57" s="33">
        <f t="shared" ref="L57" si="47">C62/C16</f>
        <v>12.563188459751766</v>
      </c>
      <c r="M57" s="33">
        <f t="shared" ref="M57" si="48">D62/D16</f>
        <v>8.452703411532239</v>
      </c>
      <c r="N57" s="33">
        <f>E62/E16</f>
        <v>14.205318108764855</v>
      </c>
      <c r="O57" s="33">
        <f>F62/F16</f>
        <v>12.149786230904834</v>
      </c>
    </row>
    <row r="58" spans="1:15" ht="12.5">
      <c r="A58" s="6" t="s">
        <v>74</v>
      </c>
      <c r="B58" s="59">
        <v>68254578</v>
      </c>
      <c r="C58" s="59">
        <v>68368099</v>
      </c>
      <c r="D58" s="59">
        <v>68467514</v>
      </c>
      <c r="E58" s="59">
        <v>68704614</v>
      </c>
      <c r="F58" s="92">
        <v>68746714</v>
      </c>
      <c r="H58" s="8" t="s">
        <v>59</v>
      </c>
      <c r="I58" s="54" t="e">
        <f>(#REF!/I6)</f>
        <v>#REF!</v>
      </c>
      <c r="J58" s="54" t="e">
        <f>(#REF!/J6)</f>
        <v>#REF!</v>
      </c>
      <c r="K58" s="54">
        <f t="shared" ref="K58" si="49">(B26/K6)</f>
        <v>8.280577579616212E-2</v>
      </c>
      <c r="L58" s="54">
        <f t="shared" ref="L58" si="50">(C26/L6)</f>
        <v>4.5392942150470142E-2</v>
      </c>
      <c r="M58" s="54">
        <f t="shared" ref="M58" si="51">(D26/M6)</f>
        <v>0.23402268534244489</v>
      </c>
      <c r="N58" s="54">
        <f t="shared" ref="N58:O58" si="52">(E26/N6)</f>
        <v>0.25115800173133684</v>
      </c>
      <c r="O58" s="54">
        <f t="shared" si="52"/>
        <v>9.726294499152989E-2</v>
      </c>
    </row>
    <row r="59" spans="1:15">
      <c r="A59" s="6" t="s">
        <v>75</v>
      </c>
      <c r="B59" s="58">
        <f t="shared" ref="B59" si="53">B58*K51/1000000</f>
        <v>2504.9430126000002</v>
      </c>
      <c r="C59" s="58">
        <f t="shared" ref="C59" si="54">C58*L51/1000000</f>
        <v>1661.3448057000001</v>
      </c>
      <c r="D59" s="58">
        <f t="shared" ref="D59" si="55">D58*M51/1000000</f>
        <v>3464.4562083999999</v>
      </c>
      <c r="E59" s="58">
        <f t="shared" ref="E59" si="56">E58*N51/1000000</f>
        <v>10735.0959375</v>
      </c>
      <c r="F59" s="58">
        <f t="shared" ref="F59" si="57">F58*O51/1000000</f>
        <v>5613.1691981000004</v>
      </c>
      <c r="H59" s="8" t="s">
        <v>60</v>
      </c>
      <c r="I59" s="54" t="e">
        <f>(#REF!+#REF!)/I11</f>
        <v>#REF!</v>
      </c>
      <c r="J59" s="54" t="e">
        <f>(#REF!+#REF!)/J11</f>
        <v>#REF!</v>
      </c>
      <c r="K59" s="54">
        <f>(B16-B20)/K11</f>
        <v>0.13570672435218775</v>
      </c>
      <c r="L59" s="54">
        <f t="shared" ref="L59:O59" si="58">(C16-C20)/L11</f>
        <v>0.1015740054416919</v>
      </c>
      <c r="M59" s="54">
        <f t="shared" si="58"/>
        <v>0.29581149010835917</v>
      </c>
      <c r="N59" s="54">
        <f t="shared" si="58"/>
        <v>0.38269815078343034</v>
      </c>
      <c r="O59" s="54">
        <f t="shared" si="58"/>
        <v>0.22111893057040477</v>
      </c>
    </row>
    <row r="60" spans="1:15">
      <c r="A60" s="6" t="s">
        <v>78</v>
      </c>
      <c r="B60" s="58">
        <f t="shared" ref="B60" si="59">K10</f>
        <v>954.66800000000001</v>
      </c>
      <c r="C60" s="58">
        <f t="shared" ref="C60" si="60">L10</f>
        <v>1025.2360000000001</v>
      </c>
      <c r="D60" s="58">
        <f t="shared" ref="D60" si="61">M10</f>
        <v>1615.5149999999999</v>
      </c>
      <c r="E60" s="58">
        <f t="shared" ref="E60" si="62">N10</f>
        <v>2255.6729999999998</v>
      </c>
      <c r="F60" s="58">
        <f t="shared" ref="F60" si="63">O10</f>
        <v>2401</v>
      </c>
      <c r="H60" s="7" t="s">
        <v>61</v>
      </c>
      <c r="I60" s="32" t="e">
        <f t="shared" ref="I60:N60" si="64">(I10/I6)</f>
        <v>#DIV/0!</v>
      </c>
      <c r="J60" s="32" t="e">
        <f t="shared" si="64"/>
        <v>#DIV/0!</v>
      </c>
      <c r="K60" s="32">
        <f t="shared" si="64"/>
        <v>0.82283289131984338</v>
      </c>
      <c r="L60" s="32">
        <f t="shared" si="64"/>
        <v>0.84879312842802446</v>
      </c>
      <c r="M60" s="32">
        <f t="shared" si="64"/>
        <v>1.0759985613523289</v>
      </c>
      <c r="N60" s="32">
        <f t="shared" si="64"/>
        <v>1.1891979236630916</v>
      </c>
      <c r="O60" s="32">
        <f t="shared" ref="O60" si="65">(O10/O6)</f>
        <v>1.204418575836484</v>
      </c>
    </row>
    <row r="61" spans="1:15">
      <c r="A61" s="6" t="s">
        <v>76</v>
      </c>
      <c r="B61" s="58">
        <f t="shared" ref="B61" si="66">K28</f>
        <v>66.801000000000002</v>
      </c>
      <c r="C61" s="58">
        <f t="shared" ref="C61" si="67">L28</f>
        <v>144.495</v>
      </c>
      <c r="D61" s="58">
        <f t="shared" ref="D61" si="68">M28</f>
        <v>177.62299999999999</v>
      </c>
      <c r="E61" s="58">
        <f t="shared" ref="E61" si="69">N28</f>
        <v>165.81</v>
      </c>
      <c r="F61" s="58">
        <f>O28</f>
        <v>219</v>
      </c>
      <c r="H61" s="7" t="s">
        <v>62</v>
      </c>
      <c r="I61" s="32" t="e">
        <f t="shared" ref="I61:N61" si="70">(I10-I28)/I6</f>
        <v>#DIV/0!</v>
      </c>
      <c r="J61" s="32" t="e">
        <f t="shared" si="70"/>
        <v>#DIV/0!</v>
      </c>
      <c r="K61" s="32">
        <f t="shared" si="70"/>
        <v>0.76525679159401527</v>
      </c>
      <c r="L61" s="32">
        <f t="shared" si="70"/>
        <v>0.72916568353513411</v>
      </c>
      <c r="M61" s="32">
        <f t="shared" si="70"/>
        <v>0.95769443389880182</v>
      </c>
      <c r="N61" s="32">
        <f t="shared" si="70"/>
        <v>1.1017823684285444</v>
      </c>
      <c r="O61" s="32">
        <f t="shared" ref="O61" si="71">(O10-O28)/O6</f>
        <v>1.0945611547168714</v>
      </c>
    </row>
    <row r="62" spans="1:15">
      <c r="A62" s="6" t="s">
        <v>77</v>
      </c>
      <c r="B62" s="46">
        <f t="shared" ref="B62:F62" si="72">B59+B60-B61</f>
        <v>3392.8100126000004</v>
      </c>
      <c r="C62" s="46">
        <f t="shared" si="72"/>
        <v>2542.0858057000005</v>
      </c>
      <c r="D62" s="46">
        <f t="shared" si="72"/>
        <v>4902.3482084000007</v>
      </c>
      <c r="E62" s="46">
        <f t="shared" si="72"/>
        <v>12824.958937500001</v>
      </c>
      <c r="F62" s="46">
        <f t="shared" si="72"/>
        <v>7795.1691981000004</v>
      </c>
      <c r="H62" s="7" t="s">
        <v>63</v>
      </c>
      <c r="I62" s="68" t="e">
        <f t="shared" ref="I62:N62" si="73">(I54/I51)</f>
        <v>#DIV/0!</v>
      </c>
      <c r="J62" s="68" t="e">
        <f t="shared" si="73"/>
        <v>#DIV/0!</v>
      </c>
      <c r="K62" s="68">
        <f t="shared" si="73"/>
        <v>0</v>
      </c>
      <c r="L62" s="68">
        <f t="shared" si="73"/>
        <v>8.23045267489712E-3</v>
      </c>
      <c r="M62" s="68">
        <f t="shared" si="73"/>
        <v>1.1857707509881422E-2</v>
      </c>
      <c r="N62" s="37">
        <f t="shared" si="73"/>
        <v>4.4799999999999996E-3</v>
      </c>
      <c r="O62" s="37">
        <f t="shared" ref="O62" si="74">(O54/O51)</f>
        <v>3.6742192284139616E-3</v>
      </c>
    </row>
    <row r="63" spans="1:15">
      <c r="H63" s="7" t="s">
        <v>64</v>
      </c>
      <c r="I63" s="7"/>
      <c r="J63" s="69" t="e">
        <f>(AVERAGE(I27:J27)/#REF!*365)</f>
        <v>#DIV/0!</v>
      </c>
      <c r="K63" s="69">
        <f t="shared" ref="K63:M63" si="75">(AVERAGE(J27:K27)/B6*365)</f>
        <v>18.182484705023992</v>
      </c>
      <c r="L63" s="69">
        <f t="shared" si="75"/>
        <v>24.311787951568142</v>
      </c>
      <c r="M63" s="69">
        <f t="shared" si="75"/>
        <v>24.942139848779185</v>
      </c>
      <c r="N63" s="69">
        <f>(AVERAGE(M27:N27)/E6*365)</f>
        <v>30.695605687661974</v>
      </c>
      <c r="O63" s="69">
        <f>(AVERAGE(N27:O27)/F6*365)</f>
        <v>30.678680881368837</v>
      </c>
    </row>
    <row r="64" spans="1:15">
      <c r="H64" s="7" t="s">
        <v>65</v>
      </c>
      <c r="I64" s="7"/>
      <c r="J64" s="69" t="e">
        <f>AVERAGE(I36:J36)/(#REF!+#REF!)*365</f>
        <v>#DIV/0!</v>
      </c>
      <c r="K64" s="69">
        <f t="shared" ref="K64:M64" si="76">AVERAGE(J36:K36)/(B10)*365</f>
        <v>11.879034033252088</v>
      </c>
      <c r="L64" s="69">
        <f t="shared" si="76"/>
        <v>12.513046523581634</v>
      </c>
      <c r="M64" s="69">
        <f t="shared" si="76"/>
        <v>8.0393436841181298</v>
      </c>
      <c r="N64" s="69">
        <f>AVERAGE(M36:N36)/(E10)*365</f>
        <v>13.464671160615442</v>
      </c>
      <c r="O64" s="69">
        <f>AVERAGE(N36:O36)/(F10)*365</f>
        <v>26.520264888679467</v>
      </c>
    </row>
    <row r="65" spans="3:15">
      <c r="H65" s="7" t="s">
        <v>66</v>
      </c>
      <c r="I65" s="12"/>
      <c r="J65" s="70" t="e">
        <f>(AVERAGE(I26:J26)/(#REF!+#REF!)*365)</f>
        <v>#DIV/0!</v>
      </c>
      <c r="K65" s="70">
        <f t="shared" ref="K65" si="77">(AVERAGE(J26:K26)/(B10+B12+B13)*365)</f>
        <v>76.793422979003623</v>
      </c>
      <c r="L65" s="70">
        <f t="shared" ref="L65" si="78">(AVERAGE(K26:L26)/(C10+C12+C13)*365)</f>
        <v>84.069900375861067</v>
      </c>
      <c r="M65" s="70">
        <f t="shared" ref="M65" si="79">(AVERAGE(L26:M26)/(D10+D12+D13)*365)</f>
        <v>65.445593501615861</v>
      </c>
      <c r="N65" s="70">
        <f t="shared" ref="N65:O65" si="80">(AVERAGE(M26:N26)/(E10+E12+E13)*365)</f>
        <v>60.458712041944402</v>
      </c>
      <c r="O65" s="70">
        <f t="shared" si="80"/>
        <v>60.116959050208045</v>
      </c>
    </row>
    <row r="66" spans="3:15">
      <c r="H66" s="7" t="s">
        <v>82</v>
      </c>
      <c r="I66" s="71"/>
      <c r="J66" s="70" t="e">
        <f t="shared" ref="J66:N66" si="81">(J65+J63-J64)</f>
        <v>#DIV/0!</v>
      </c>
      <c r="K66" s="70">
        <f t="shared" si="81"/>
        <v>83.096873650775535</v>
      </c>
      <c r="L66" s="70">
        <f t="shared" si="81"/>
        <v>95.868641803847567</v>
      </c>
      <c r="M66" s="70">
        <f t="shared" si="81"/>
        <v>82.348389666276915</v>
      </c>
      <c r="N66" s="70">
        <f t="shared" si="81"/>
        <v>77.689646568990938</v>
      </c>
      <c r="O66" s="70">
        <f t="shared" ref="O66" si="82">(O65+O63-O64)</f>
        <v>64.275375042897423</v>
      </c>
    </row>
    <row r="67" spans="3:15">
      <c r="H67" s="7" t="s">
        <v>67</v>
      </c>
      <c r="I67" s="71"/>
      <c r="J67" s="70" t="e">
        <f>AVERAGE(I42:J42)/#REF!*365</f>
        <v>#REF!</v>
      </c>
      <c r="K67" s="70">
        <f>AVERAGE(J42:K42)/B6*365</f>
        <v>18.333481425907237</v>
      </c>
      <c r="L67" s="70">
        <f t="shared" ref="L67" si="83">AVERAGE(K42:L42)/C6*365</f>
        <v>43.956825380518339</v>
      </c>
      <c r="M67" s="70">
        <f>AVERAGE(L42:M42)/D6*365</f>
        <v>30.800720925663981</v>
      </c>
      <c r="N67" s="70">
        <f>AVERAGE(M42:N42)/E6*365</f>
        <v>22.730413516329534</v>
      </c>
      <c r="O67" s="70">
        <f>AVERAGE(N42:O42)/F6*365</f>
        <v>15.061503039421304</v>
      </c>
    </row>
    <row r="68" spans="3:15" ht="14.5">
      <c r="C68" s="93"/>
      <c r="D68" s="95"/>
      <c r="H68" s="23" t="s">
        <v>88</v>
      </c>
      <c r="I68" s="23"/>
      <c r="J68" s="37" t="e">
        <f>#REF!/J10</f>
        <v>#REF!</v>
      </c>
      <c r="K68" s="37">
        <f t="shared" ref="K68" si="84">B21/K10</f>
        <v>0.10345900354887773</v>
      </c>
      <c r="L68" s="37">
        <f t="shared" ref="L68" si="85">C21/L10</f>
        <v>7.3823002703767723E-2</v>
      </c>
      <c r="M68" s="37">
        <f t="shared" ref="M68" si="86">D21/M10</f>
        <v>5.3314887203151938E-2</v>
      </c>
      <c r="N68" s="37">
        <f t="shared" ref="N68:O68" si="87">E21/N10</f>
        <v>7.7154800363350554E-2</v>
      </c>
      <c r="O68" s="37">
        <f t="shared" si="87"/>
        <v>9.5793002915451897E-2</v>
      </c>
    </row>
    <row r="69" spans="3:15" ht="14.5">
      <c r="C69" s="93"/>
      <c r="D69" s="95"/>
      <c r="H69" s="6" t="s">
        <v>131</v>
      </c>
      <c r="I69" s="86"/>
      <c r="J69" s="86"/>
      <c r="K69" s="70"/>
      <c r="L69" s="87">
        <f>C4/(K15:L15/2)</f>
        <v>19.882963468760668</v>
      </c>
      <c r="M69" s="87">
        <f t="shared" ref="M69:O69" si="88">D4/(L15:M15/2)</f>
        <v>20.693829005673148</v>
      </c>
      <c r="N69" s="87">
        <f t="shared" si="88"/>
        <v>19.122306314204756</v>
      </c>
      <c r="O69" s="87">
        <f t="shared" si="88"/>
        <v>18.31457669616519</v>
      </c>
    </row>
    <row r="70" spans="3:15" ht="14.5">
      <c r="C70" s="93"/>
      <c r="D70" s="95"/>
      <c r="F70" s="10" t="s">
        <v>29</v>
      </c>
      <c r="H70" s="6" t="s">
        <v>132</v>
      </c>
      <c r="I70" s="86"/>
      <c r="J70" s="86"/>
      <c r="K70" s="84"/>
      <c r="L70" s="85">
        <f>C4/(K13:L13/2)</f>
        <v>11.660560010747576</v>
      </c>
      <c r="M70" s="85">
        <f t="shared" ref="M70:N70" si="89">D4/(L13:M13/2)</f>
        <v>13.556505550575743</v>
      </c>
      <c r="N70" s="85">
        <f t="shared" si="89"/>
        <v>17.295743933765777</v>
      </c>
      <c r="O70" s="85" t="s">
        <v>92</v>
      </c>
    </row>
    <row r="71" spans="3:15" ht="14.5">
      <c r="C71" s="93"/>
      <c r="D71" s="95"/>
      <c r="I71" s="15"/>
      <c r="J71" s="15"/>
      <c r="K71" s="15"/>
      <c r="L71" s="15"/>
    </row>
    <row r="72" spans="3:15">
      <c r="C72" s="94"/>
      <c r="H72" s="1" t="s">
        <v>122</v>
      </c>
    </row>
    <row r="73" spans="3:15">
      <c r="K73" s="1"/>
    </row>
    <row r="74" spans="3:15">
      <c r="H74" s="1" t="s">
        <v>119</v>
      </c>
      <c r="K74" s="1"/>
    </row>
    <row r="75" spans="3:15">
      <c r="H75" s="1" t="s">
        <v>120</v>
      </c>
      <c r="K75" s="1"/>
    </row>
    <row r="76" spans="3:15">
      <c r="H76" s="1" t="s">
        <v>121</v>
      </c>
    </row>
    <row r="83" spans="9:9">
      <c r="I83" s="1"/>
    </row>
    <row r="84" spans="9:9">
      <c r="I84" s="1"/>
    </row>
    <row r="85" spans="9:9">
      <c r="I85" s="1"/>
    </row>
    <row r="86" spans="9:9">
      <c r="I86" s="13"/>
    </row>
  </sheetData>
  <mergeCells count="3">
    <mergeCell ref="A1:O1"/>
    <mergeCell ref="A2:F2"/>
    <mergeCell ref="H2:O2"/>
  </mergeCells>
  <pageMargins left="0.25" right="0.25" top="0.75" bottom="0.75" header="0.3" footer="0.3"/>
  <pageSetup paperSize="8" scale="72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="85" zoomScaleNormal="85" zoomScaleSheetLayoutView="85" workbookViewId="0">
      <selection activeCell="B53" sqref="B53"/>
    </sheetView>
  </sheetViews>
  <sheetFormatPr defaultColWidth="23.7265625" defaultRowHeight="18.5"/>
  <cols>
    <col min="1" max="1" width="34.7265625" style="146" bestFit="1" customWidth="1"/>
    <col min="2" max="2" width="18.26953125" style="146" customWidth="1"/>
    <col min="3" max="10" width="17.81640625" style="146" customWidth="1"/>
    <col min="11" max="11" width="23.7265625" style="146"/>
    <col min="12" max="16" width="17.81640625" style="146" customWidth="1"/>
    <col min="17" max="16384" width="23.7265625" style="146"/>
  </cols>
  <sheetData>
    <row r="1" spans="1:17">
      <c r="A1" s="442" t="s">
        <v>216</v>
      </c>
      <c r="B1" s="442"/>
      <c r="C1" s="442"/>
      <c r="D1" s="442"/>
      <c r="E1" s="442"/>
      <c r="F1" s="442"/>
      <c r="G1" s="442"/>
      <c r="H1" s="442"/>
      <c r="I1" s="442"/>
      <c r="J1" s="442"/>
      <c r="K1" s="239"/>
      <c r="L1" s="440"/>
      <c r="M1" s="440"/>
      <c r="N1" s="440"/>
      <c r="O1" s="440"/>
      <c r="P1" s="440"/>
      <c r="Q1" s="357"/>
    </row>
    <row r="2" spans="1:17">
      <c r="A2" s="97"/>
      <c r="B2" s="97"/>
      <c r="C2" s="147" t="s">
        <v>217</v>
      </c>
      <c r="D2" s="147"/>
      <c r="E2" s="147"/>
      <c r="F2" s="147"/>
      <c r="G2" s="147"/>
      <c r="H2" s="147"/>
      <c r="I2" s="147"/>
      <c r="J2" s="147"/>
      <c r="K2" s="225"/>
      <c r="L2" s="357"/>
      <c r="M2" s="357"/>
      <c r="N2" s="357"/>
      <c r="O2" s="357"/>
      <c r="P2" s="357"/>
      <c r="Q2" s="227"/>
    </row>
    <row r="3" spans="1:17">
      <c r="A3" s="443" t="s">
        <v>222</v>
      </c>
      <c r="B3" s="443"/>
      <c r="C3" s="443"/>
      <c r="D3" s="443"/>
      <c r="E3" s="443"/>
      <c r="F3" s="443"/>
      <c r="G3" s="443"/>
      <c r="H3" s="443"/>
      <c r="I3" s="443"/>
      <c r="J3" s="443"/>
      <c r="K3" s="226"/>
      <c r="L3" s="227"/>
      <c r="M3" s="227"/>
      <c r="N3" s="227"/>
      <c r="O3" s="227"/>
      <c r="P3" s="227"/>
      <c r="Q3" s="227"/>
    </row>
    <row r="4" spans="1:17">
      <c r="A4" s="148" t="s">
        <v>161</v>
      </c>
      <c r="B4" s="444" t="s">
        <v>217</v>
      </c>
      <c r="C4" s="444"/>
      <c r="D4" s="444" t="s">
        <v>218</v>
      </c>
      <c r="E4" s="444"/>
      <c r="F4" s="444" t="s">
        <v>219</v>
      </c>
      <c r="G4" s="444"/>
      <c r="H4" s="444" t="s">
        <v>220</v>
      </c>
      <c r="I4" s="444"/>
      <c r="J4" s="148" t="s">
        <v>221</v>
      </c>
      <c r="K4" s="227"/>
      <c r="L4" s="227"/>
      <c r="M4" s="227"/>
      <c r="N4" s="227"/>
      <c r="O4" s="227"/>
      <c r="P4" s="227"/>
      <c r="Q4" s="227"/>
    </row>
    <row r="5" spans="1:17">
      <c r="A5" s="148"/>
      <c r="B5" s="148" t="s">
        <v>213</v>
      </c>
      <c r="C5" s="148" t="s">
        <v>215</v>
      </c>
      <c r="D5" s="148" t="s">
        <v>213</v>
      </c>
      <c r="E5" s="148" t="s">
        <v>215</v>
      </c>
      <c r="F5" s="148" t="s">
        <v>213</v>
      </c>
      <c r="G5" s="148" t="s">
        <v>215</v>
      </c>
      <c r="H5" s="148" t="s">
        <v>213</v>
      </c>
      <c r="I5" s="148" t="s">
        <v>215</v>
      </c>
      <c r="J5" s="148" t="s">
        <v>215</v>
      </c>
      <c r="K5" s="227"/>
      <c r="L5" s="227"/>
      <c r="M5" s="227"/>
      <c r="N5" s="227"/>
      <c r="O5" s="227"/>
      <c r="P5" s="227"/>
      <c r="Q5" s="227"/>
    </row>
    <row r="6" spans="1:17">
      <c r="A6" s="365" t="s">
        <v>169</v>
      </c>
      <c r="B6" s="365">
        <f>'Fairchem Organics Ltd.'!G4</f>
        <v>3965.694</v>
      </c>
      <c r="C6" s="366">
        <v>3071</v>
      </c>
      <c r="D6" s="376">
        <v>93221</v>
      </c>
      <c r="E6" s="365">
        <v>61707</v>
      </c>
      <c r="F6" s="377">
        <v>5410</v>
      </c>
      <c r="G6" s="365">
        <v>3606.6759999999999</v>
      </c>
      <c r="H6" s="376">
        <v>5652</v>
      </c>
      <c r="I6" s="365">
        <v>2962</v>
      </c>
      <c r="J6" s="365">
        <v>2095</v>
      </c>
      <c r="K6" s="228"/>
      <c r="L6" s="227"/>
      <c r="M6" s="358"/>
      <c r="N6" s="358"/>
      <c r="O6" s="358"/>
      <c r="P6" s="358"/>
      <c r="Q6" s="227"/>
    </row>
    <row r="7" spans="1:17">
      <c r="A7" s="365" t="s">
        <v>134</v>
      </c>
      <c r="B7" s="367">
        <f>'Fairchem Organics Ltd.'!G8</f>
        <v>0.18926688279073844</v>
      </c>
      <c r="C7" s="368">
        <f>'Fairchem Organics Ltd.'!G8</f>
        <v>0.18926688279073844</v>
      </c>
      <c r="D7" s="383">
        <v>0.01</v>
      </c>
      <c r="E7" s="367"/>
      <c r="F7" s="379">
        <v>0.15</v>
      </c>
      <c r="G7" s="367"/>
      <c r="H7" s="380"/>
      <c r="I7" s="367"/>
      <c r="J7" s="369">
        <v>0.08</v>
      </c>
      <c r="K7" s="229"/>
      <c r="L7" s="227"/>
      <c r="M7" s="227"/>
      <c r="N7" s="227"/>
      <c r="O7" s="227"/>
      <c r="P7" s="227"/>
      <c r="Q7" s="227"/>
    </row>
    <row r="8" spans="1:17">
      <c r="A8" s="365" t="s">
        <v>4</v>
      </c>
      <c r="B8" s="365">
        <f>'Fairchem Organics Ltd.'!G16</f>
        <v>686.72199999999975</v>
      </c>
      <c r="C8" s="370">
        <v>648</v>
      </c>
      <c r="D8" s="381">
        <v>12214</v>
      </c>
      <c r="E8" s="365">
        <v>3107</v>
      </c>
      <c r="F8" s="378">
        <v>680</v>
      </c>
      <c r="G8" s="365">
        <v>400</v>
      </c>
      <c r="H8" s="378">
        <v>217</v>
      </c>
      <c r="I8" s="365">
        <v>142</v>
      </c>
      <c r="J8" s="365">
        <v>415</v>
      </c>
      <c r="K8" s="230"/>
      <c r="L8" s="357"/>
      <c r="M8" s="359"/>
      <c r="N8" s="359"/>
      <c r="O8" s="359"/>
      <c r="P8" s="359"/>
      <c r="Q8" s="227"/>
    </row>
    <row r="9" spans="1:17">
      <c r="A9" s="365" t="s">
        <v>134</v>
      </c>
      <c r="B9" s="367">
        <f>'Fairchem Organics Ltd.'!G18</f>
        <v>0.2483810074696573</v>
      </c>
      <c r="C9" s="371">
        <f>'Fairchem Organics Ltd.'!F18</f>
        <v>0</v>
      </c>
      <c r="D9" s="378" t="s">
        <v>92</v>
      </c>
      <c r="E9" s="367"/>
      <c r="F9" s="379">
        <v>0.312</v>
      </c>
      <c r="G9" s="367"/>
      <c r="H9" s="380"/>
      <c r="I9" s="367"/>
      <c r="J9" s="369">
        <v>0.05</v>
      </c>
      <c r="K9" s="229"/>
      <c r="L9" s="227"/>
      <c r="M9" s="227"/>
      <c r="N9" s="227"/>
      <c r="O9" s="227"/>
      <c r="P9" s="227"/>
      <c r="Q9" s="227"/>
    </row>
    <row r="10" spans="1:17">
      <c r="A10" s="365" t="s">
        <v>135</v>
      </c>
      <c r="B10" s="367">
        <f>'Fairchem Organics Ltd.'!G19</f>
        <v>0.17316565524218452</v>
      </c>
      <c r="C10" s="372">
        <f>'Fairchem Organics Ltd.'!G18</f>
        <v>0.2483810074696573</v>
      </c>
      <c r="D10" s="379">
        <v>0.17460000000000001</v>
      </c>
      <c r="E10" s="367">
        <v>5.04E-2</v>
      </c>
      <c r="F10" s="379">
        <f>F8/F6</f>
        <v>0.1256931608133087</v>
      </c>
      <c r="G10" s="367">
        <v>0.1109</v>
      </c>
      <c r="H10" s="379">
        <f>H8/H6</f>
        <v>3.8393489030431709E-2</v>
      </c>
      <c r="I10" s="367">
        <v>4.7800000000000002E-2</v>
      </c>
      <c r="J10" s="367">
        <v>0.19800000000000001</v>
      </c>
      <c r="K10" s="231"/>
      <c r="L10" s="360"/>
      <c r="M10" s="360"/>
      <c r="N10" s="360"/>
      <c r="O10" s="360"/>
      <c r="P10" s="360"/>
      <c r="Q10" s="227"/>
    </row>
    <row r="11" spans="1:17">
      <c r="A11" s="365" t="s">
        <v>11</v>
      </c>
      <c r="B11" s="365">
        <f>'Fairchem Organics Ltd.'!G27</f>
        <v>424.84699999999987</v>
      </c>
      <c r="C11" s="370">
        <v>432</v>
      </c>
      <c r="D11" s="381">
        <v>3346</v>
      </c>
      <c r="E11" s="365">
        <v>3869</v>
      </c>
      <c r="F11" s="378">
        <v>376</v>
      </c>
      <c r="G11" s="365">
        <v>110.68600000000001</v>
      </c>
      <c r="H11" s="378">
        <v>136</v>
      </c>
      <c r="I11" s="365">
        <v>80</v>
      </c>
      <c r="J11" s="365">
        <v>158</v>
      </c>
      <c r="K11" s="230"/>
      <c r="L11" s="357"/>
      <c r="M11" s="359"/>
      <c r="N11" s="359"/>
      <c r="O11" s="359"/>
      <c r="P11" s="359"/>
      <c r="Q11" s="227"/>
    </row>
    <row r="12" spans="1:17">
      <c r="A12" s="365" t="s">
        <v>134</v>
      </c>
      <c r="B12" s="367">
        <f>'Fairchem Organics Ltd.'!G33</f>
        <v>0.10749973373001143</v>
      </c>
      <c r="C12" s="366" t="e">
        <f>'Fairchem Organics Ltd.'!#REF!</f>
        <v>#REF!</v>
      </c>
      <c r="D12" s="383">
        <v>0.12</v>
      </c>
      <c r="E12" s="369"/>
      <c r="F12" s="379">
        <v>0.33</v>
      </c>
      <c r="G12" s="367"/>
      <c r="H12" s="380"/>
      <c r="I12" s="367"/>
      <c r="J12" s="369">
        <v>0.11</v>
      </c>
      <c r="K12" s="229"/>
      <c r="L12" s="227"/>
      <c r="M12" s="227"/>
      <c r="N12" s="227"/>
      <c r="O12" s="227"/>
      <c r="P12" s="227"/>
      <c r="Q12" s="227"/>
    </row>
    <row r="13" spans="1:17">
      <c r="A13" s="365" t="s">
        <v>136</v>
      </c>
      <c r="B13" s="367">
        <f>'Fairchem Organics Ltd.'!G31</f>
        <v>0.10594312117878986</v>
      </c>
      <c r="C13" s="372">
        <f>C11/C6</f>
        <v>0.14067079127320092</v>
      </c>
      <c r="D13" s="379">
        <v>3.5900000000000001E-2</v>
      </c>
      <c r="E13" s="367">
        <v>6.2700000000000006E-2</v>
      </c>
      <c r="F13" s="379">
        <f>F11/F6</f>
        <v>6.9500924214417739E-2</v>
      </c>
      <c r="G13" s="367">
        <v>3.0700000000000002E-2</v>
      </c>
      <c r="H13" s="379">
        <f>H11/H6</f>
        <v>2.4062278839348902E-2</v>
      </c>
      <c r="I13" s="367">
        <v>2.69E-2</v>
      </c>
      <c r="J13" s="367">
        <v>7.5499999999999998E-2</v>
      </c>
      <c r="K13" s="231"/>
      <c r="L13" s="360"/>
      <c r="M13" s="360"/>
      <c r="N13" s="360"/>
      <c r="O13" s="360"/>
      <c r="P13" s="360"/>
      <c r="Q13" s="227"/>
    </row>
    <row r="14" spans="1:17">
      <c r="A14" s="365" t="s">
        <v>14</v>
      </c>
      <c r="B14" s="365">
        <f>'Fairchem Organics Ltd.'!G34</f>
        <v>32.630000000000003</v>
      </c>
      <c r="C14" s="370">
        <v>33.18</v>
      </c>
      <c r="D14" s="378">
        <v>9.94</v>
      </c>
      <c r="E14" s="365">
        <v>8.3800000000000008</v>
      </c>
      <c r="F14" s="378">
        <f>10.69</f>
        <v>10.69</v>
      </c>
      <c r="G14" s="365">
        <v>3.11</v>
      </c>
      <c r="H14" s="378">
        <v>9</v>
      </c>
      <c r="I14" s="365">
        <v>8.98</v>
      </c>
      <c r="J14" s="365">
        <v>5.47</v>
      </c>
      <c r="L14" s="358"/>
      <c r="M14" s="358"/>
      <c r="N14" s="358"/>
      <c r="O14" s="358"/>
      <c r="P14" s="358"/>
      <c r="Q14" s="227"/>
    </row>
    <row r="15" spans="1:17">
      <c r="A15" s="365"/>
      <c r="B15" s="365"/>
      <c r="C15" s="365"/>
      <c r="D15" s="365"/>
      <c r="E15" s="365"/>
      <c r="F15" s="365"/>
      <c r="G15" s="365"/>
      <c r="H15" s="365"/>
      <c r="I15" s="365"/>
      <c r="J15" s="365"/>
      <c r="L15" s="227"/>
      <c r="M15" s="227"/>
      <c r="N15" s="227"/>
      <c r="O15" s="227"/>
      <c r="P15" s="227"/>
      <c r="Q15" s="227"/>
    </row>
    <row r="16" spans="1:17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L16" s="227"/>
      <c r="M16" s="227"/>
      <c r="N16" s="227"/>
      <c r="O16" s="227"/>
      <c r="P16" s="227"/>
      <c r="Q16" s="227"/>
    </row>
    <row r="17" spans="1:17" hidden="1">
      <c r="A17" s="441" t="s">
        <v>137</v>
      </c>
      <c r="B17" s="441"/>
      <c r="C17" s="441"/>
      <c r="D17" s="441"/>
      <c r="E17" s="441"/>
      <c r="F17" s="441"/>
      <c r="G17" s="441"/>
      <c r="H17" s="441"/>
      <c r="I17" s="441"/>
      <c r="J17" s="441"/>
      <c r="K17" s="232"/>
      <c r="L17" s="227"/>
      <c r="M17" s="227"/>
      <c r="N17" s="227"/>
      <c r="O17" s="227"/>
      <c r="P17" s="227"/>
      <c r="Q17" s="227"/>
    </row>
    <row r="18" spans="1:17" hidden="1">
      <c r="A18" s="365" t="s">
        <v>138</v>
      </c>
      <c r="B18" s="365"/>
      <c r="C18" s="371">
        <f>'Fairchem Organics Ltd.'!T6</f>
        <v>2321.489</v>
      </c>
      <c r="D18" s="371"/>
      <c r="E18" s="371">
        <v>19959.2</v>
      </c>
      <c r="F18" s="371"/>
      <c r="G18" s="371"/>
      <c r="H18" s="371"/>
      <c r="I18" s="371"/>
      <c r="J18" s="371"/>
      <c r="K18" s="228"/>
      <c r="L18" s="361"/>
      <c r="M18" s="361"/>
      <c r="N18" s="361"/>
      <c r="O18" s="361"/>
      <c r="P18" s="361"/>
      <c r="Q18" s="227"/>
    </row>
    <row r="19" spans="1:17" hidden="1">
      <c r="A19" s="365" t="s">
        <v>78</v>
      </c>
      <c r="B19" s="365"/>
      <c r="C19" s="371">
        <f>'Fairchem Organics Ltd.'!T10</f>
        <v>620.29999999999995</v>
      </c>
      <c r="D19" s="371"/>
      <c r="E19" s="371">
        <f>SUM(E20:E21)</f>
        <v>15442.7</v>
      </c>
      <c r="F19" s="371"/>
      <c r="G19" s="371"/>
      <c r="H19" s="371"/>
      <c r="I19" s="371"/>
      <c r="J19" s="371"/>
      <c r="L19" s="362"/>
      <c r="M19" s="362"/>
      <c r="N19" s="362"/>
      <c r="O19" s="362"/>
      <c r="P19" s="362"/>
      <c r="Q19" s="227"/>
    </row>
    <row r="20" spans="1:17" hidden="1">
      <c r="A20" s="365" t="s">
        <v>139</v>
      </c>
      <c r="B20" s="365"/>
      <c r="C20" s="371">
        <f>'Fairchem Organics Ltd.'!T8</f>
        <v>99.87</v>
      </c>
      <c r="D20" s="371"/>
      <c r="E20" s="371">
        <v>4821.5</v>
      </c>
      <c r="F20" s="371"/>
      <c r="G20" s="371"/>
      <c r="H20" s="371"/>
      <c r="I20" s="371"/>
      <c r="J20" s="371"/>
      <c r="K20" s="233"/>
      <c r="L20" s="361"/>
      <c r="M20" s="361"/>
      <c r="N20" s="361"/>
      <c r="O20" s="361"/>
      <c r="P20" s="361"/>
      <c r="Q20" s="227"/>
    </row>
    <row r="21" spans="1:17" hidden="1">
      <c r="A21" s="365" t="s">
        <v>140</v>
      </c>
      <c r="B21" s="365"/>
      <c r="C21" s="371">
        <f>'Fairchem Organics Ltd.'!T9</f>
        <v>520.42999999999995</v>
      </c>
      <c r="D21" s="371"/>
      <c r="E21" s="371">
        <v>10621.2</v>
      </c>
      <c r="F21" s="371"/>
      <c r="G21" s="371"/>
      <c r="H21" s="371"/>
      <c r="I21" s="371"/>
      <c r="J21" s="371"/>
      <c r="L21" s="361"/>
      <c r="M21" s="361"/>
      <c r="N21" s="361"/>
      <c r="O21" s="361"/>
      <c r="P21" s="361"/>
      <c r="Q21" s="227"/>
    </row>
    <row r="22" spans="1:17">
      <c r="A22" s="365"/>
      <c r="B22" s="365"/>
      <c r="C22" s="365"/>
      <c r="D22" s="365"/>
      <c r="E22" s="365"/>
      <c r="F22" s="365"/>
      <c r="G22" s="365"/>
      <c r="H22" s="365"/>
      <c r="I22" s="365"/>
      <c r="J22" s="365"/>
      <c r="L22" s="227"/>
      <c r="M22" s="227"/>
      <c r="N22" s="227"/>
      <c r="O22" s="227"/>
      <c r="P22" s="227"/>
      <c r="Q22" s="227"/>
    </row>
    <row r="23" spans="1:17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L23" s="227"/>
      <c r="M23" s="227"/>
      <c r="N23" s="227"/>
      <c r="O23" s="227"/>
      <c r="P23" s="227"/>
      <c r="Q23" s="227"/>
    </row>
    <row r="24" spans="1:17">
      <c r="A24" s="441" t="s">
        <v>15</v>
      </c>
      <c r="B24" s="441"/>
      <c r="C24" s="441"/>
      <c r="D24" s="441"/>
      <c r="E24" s="441"/>
      <c r="F24" s="441"/>
      <c r="G24" s="441"/>
      <c r="H24" s="441"/>
      <c r="I24" s="441"/>
      <c r="J24" s="441"/>
      <c r="K24" s="232"/>
      <c r="L24" s="227"/>
      <c r="M24" s="227"/>
      <c r="N24" s="227"/>
      <c r="O24" s="227"/>
      <c r="P24" s="227"/>
      <c r="Q24" s="227"/>
    </row>
    <row r="25" spans="1:17">
      <c r="A25" s="365" t="s">
        <v>141</v>
      </c>
      <c r="B25" s="365">
        <f>'Fairchem Organics Ltd.'!G50</f>
        <v>394.25900000000001</v>
      </c>
      <c r="C25" s="370" t="e">
        <f>'Fairchem Organics Ltd.'!#REF!</f>
        <v>#REF!</v>
      </c>
      <c r="D25" s="365">
        <v>-6636</v>
      </c>
      <c r="F25" s="365">
        <v>562</v>
      </c>
      <c r="H25" s="378">
        <v>142</v>
      </c>
      <c r="I25" s="365"/>
      <c r="J25" s="365">
        <v>626</v>
      </c>
      <c r="K25" s="228"/>
      <c r="L25" s="227"/>
      <c r="M25" s="358"/>
      <c r="N25" s="358"/>
      <c r="O25" s="358"/>
      <c r="P25" s="358"/>
      <c r="Q25" s="227"/>
    </row>
    <row r="26" spans="1:17">
      <c r="A26" s="365" t="s">
        <v>28</v>
      </c>
      <c r="B26" s="365">
        <f>'Fairchem Organics Ltd.'!G52</f>
        <v>163.03100000000001</v>
      </c>
      <c r="C26" s="371"/>
      <c r="D26" s="365">
        <v>-14091</v>
      </c>
      <c r="F26" s="365">
        <v>58</v>
      </c>
      <c r="H26" s="378">
        <v>66</v>
      </c>
      <c r="I26" s="365"/>
      <c r="J26" s="365">
        <v>73</v>
      </c>
      <c r="K26" s="230"/>
      <c r="L26" s="357"/>
      <c r="M26" s="359"/>
      <c r="N26" s="359"/>
      <c r="O26" s="359"/>
      <c r="P26" s="359"/>
      <c r="Q26" s="227"/>
    </row>
    <row r="27" spans="1:17">
      <c r="A27" s="365"/>
      <c r="B27" s="365"/>
      <c r="C27" s="371"/>
      <c r="D27" s="371"/>
      <c r="E27" s="365"/>
      <c r="F27" s="365"/>
      <c r="G27" s="365"/>
      <c r="H27" s="365"/>
      <c r="I27" s="365"/>
      <c r="J27" s="365"/>
      <c r="L27" s="227"/>
      <c r="M27" s="227"/>
      <c r="N27" s="227"/>
      <c r="O27" s="227"/>
      <c r="P27" s="227"/>
      <c r="Q27" s="227"/>
    </row>
    <row r="28" spans="1:17">
      <c r="A28" s="365" t="s">
        <v>75</v>
      </c>
      <c r="B28" s="365">
        <f>'Fairchem Organics Ltd.'!G56</f>
        <v>9747.4472372</v>
      </c>
      <c r="C28" s="371">
        <v>23848.400000000001</v>
      </c>
      <c r="D28" s="365">
        <v>148897</v>
      </c>
      <c r="E28" s="146">
        <v>203397.9</v>
      </c>
      <c r="F28" s="146">
        <v>5689</v>
      </c>
      <c r="G28" s="365">
        <v>7730</v>
      </c>
      <c r="H28" s="376">
        <v>1760</v>
      </c>
      <c r="I28" s="365">
        <v>1850</v>
      </c>
      <c r="J28" s="365">
        <v>8090</v>
      </c>
      <c r="K28" s="230"/>
      <c r="L28" s="363"/>
      <c r="M28" s="357"/>
      <c r="N28" s="357"/>
      <c r="O28" s="357"/>
      <c r="P28" s="357"/>
      <c r="Q28" s="227"/>
    </row>
    <row r="29" spans="1:17">
      <c r="A29" s="365" t="s">
        <v>142</v>
      </c>
      <c r="B29" s="365">
        <f>'Fairchem Organics Ltd.'!G59</f>
        <v>10226.899237199999</v>
      </c>
      <c r="C29" s="371">
        <f>'Fairchem Organics Ltd.'!F59</f>
        <v>604.95799999999997</v>
      </c>
      <c r="D29" s="365">
        <v>157286.70000000001</v>
      </c>
      <c r="F29" s="376">
        <v>6785</v>
      </c>
      <c r="G29" s="365"/>
      <c r="H29" s="376">
        <v>1870</v>
      </c>
      <c r="I29" s="365"/>
      <c r="J29" s="365"/>
      <c r="K29" s="228"/>
      <c r="L29" s="364"/>
      <c r="M29" s="227"/>
      <c r="N29" s="227"/>
      <c r="O29" s="227"/>
      <c r="P29" s="227"/>
      <c r="Q29" s="227"/>
    </row>
    <row r="30" spans="1:17">
      <c r="A30" s="365"/>
      <c r="B30" s="365"/>
      <c r="C30" s="365"/>
      <c r="D30" s="365"/>
      <c r="E30" s="365"/>
      <c r="F30" s="365"/>
      <c r="G30" s="365"/>
      <c r="H30" s="365"/>
      <c r="I30" s="441"/>
      <c r="J30" s="441"/>
      <c r="K30" s="234"/>
      <c r="L30" s="227"/>
      <c r="M30" s="227"/>
      <c r="N30" s="227"/>
      <c r="O30" s="227"/>
      <c r="P30" s="227"/>
      <c r="Q30" s="227"/>
    </row>
    <row r="31" spans="1:17">
      <c r="A31" s="365"/>
      <c r="B31" s="365"/>
      <c r="C31" s="365"/>
      <c r="D31" s="365"/>
      <c r="E31" s="365"/>
      <c r="F31" s="365"/>
      <c r="G31" s="365"/>
      <c r="H31" s="365"/>
      <c r="I31" s="441"/>
      <c r="J31" s="441"/>
      <c r="K31" s="234"/>
      <c r="L31" s="227"/>
      <c r="M31" s="227"/>
      <c r="N31" s="227"/>
      <c r="O31" s="227"/>
      <c r="P31" s="227"/>
      <c r="Q31" s="227"/>
    </row>
    <row r="32" spans="1:17">
      <c r="A32" s="441" t="s">
        <v>143</v>
      </c>
      <c r="B32" s="441"/>
      <c r="C32" s="441"/>
      <c r="D32" s="441"/>
      <c r="E32" s="441"/>
      <c r="F32" s="441"/>
      <c r="G32" s="441"/>
      <c r="H32" s="441"/>
      <c r="I32" s="441"/>
      <c r="J32" s="441"/>
      <c r="K32" s="232"/>
      <c r="L32" s="227"/>
      <c r="M32" s="227"/>
      <c r="N32" s="227"/>
      <c r="O32" s="227"/>
      <c r="P32" s="227"/>
      <c r="Q32" s="227"/>
    </row>
    <row r="33" spans="1:17">
      <c r="A33" s="365" t="s">
        <v>144</v>
      </c>
      <c r="B33" s="365">
        <f>'Fairchem Organics Ltd.'!S53</f>
        <v>22.942077842476248</v>
      </c>
      <c r="C33" s="370">
        <f>'Fairchem Organics Ltd.'!S53</f>
        <v>22.942077842476248</v>
      </c>
      <c r="D33" s="378">
        <v>51.1</v>
      </c>
      <c r="E33" s="365">
        <v>54.55</v>
      </c>
      <c r="F33" s="365">
        <v>19.600000000000001</v>
      </c>
      <c r="G33" s="146">
        <v>20.29</v>
      </c>
      <c r="H33" s="146">
        <v>15</v>
      </c>
      <c r="I33" s="365">
        <v>17.8</v>
      </c>
      <c r="J33" s="365">
        <v>24.5</v>
      </c>
      <c r="K33" s="228"/>
      <c r="L33" s="361"/>
      <c r="M33" s="361"/>
      <c r="N33" s="361"/>
      <c r="O33" s="361"/>
      <c r="P33" s="361"/>
      <c r="Q33" s="227"/>
    </row>
    <row r="34" spans="1:17">
      <c r="A34" s="365" t="s">
        <v>63</v>
      </c>
      <c r="B34" s="365"/>
      <c r="C34" s="367">
        <f>'Fairchem Organics Ltd.'!S60</f>
        <v>0</v>
      </c>
      <c r="D34" s="379">
        <v>0</v>
      </c>
      <c r="E34" s="367">
        <v>5.8999999999999999E-3</v>
      </c>
      <c r="F34" s="367">
        <v>5.0000000000000001E-3</v>
      </c>
      <c r="G34" s="146">
        <v>0</v>
      </c>
      <c r="H34" s="247">
        <v>5.0000000000000001E-3</v>
      </c>
      <c r="I34" s="367">
        <v>1.44E-2</v>
      </c>
      <c r="J34" s="367">
        <v>9.1000000000000004E-3</v>
      </c>
      <c r="K34" s="229"/>
      <c r="L34" s="361"/>
      <c r="M34" s="361"/>
      <c r="N34" s="361"/>
      <c r="O34" s="361"/>
      <c r="P34" s="361"/>
      <c r="Q34" s="227"/>
    </row>
    <row r="35" spans="1:17">
      <c r="A35" s="365" t="s">
        <v>145</v>
      </c>
      <c r="B35" s="365">
        <f>'Fairchem Organics Ltd.'!S54</f>
        <v>5.7767956388290473</v>
      </c>
      <c r="C35" s="366">
        <f>'Fairchem Organics Ltd.'!S54</f>
        <v>5.7767956388290473</v>
      </c>
      <c r="D35" s="378">
        <v>3</v>
      </c>
      <c r="E35" s="365">
        <v>6.7</v>
      </c>
      <c r="F35" s="365">
        <v>4.43</v>
      </c>
      <c r="G35" s="146">
        <v>4.18</v>
      </c>
      <c r="H35" s="146">
        <v>0.5</v>
      </c>
      <c r="I35" s="365">
        <v>0.89</v>
      </c>
      <c r="J35" s="365">
        <v>2.16</v>
      </c>
      <c r="K35" s="228"/>
      <c r="L35" s="361"/>
      <c r="M35" s="361"/>
      <c r="N35" s="361"/>
      <c r="O35" s="361"/>
      <c r="P35" s="361"/>
      <c r="Q35" s="227"/>
    </row>
    <row r="36" spans="1:17">
      <c r="A36" s="365" t="s">
        <v>146</v>
      </c>
      <c r="B36" s="365">
        <f>'Fairchem Organics Ltd.'!S55</f>
        <v>14.892342515894354</v>
      </c>
      <c r="C36" s="366">
        <f>'Fairchem Organics Ltd.'!S55</f>
        <v>14.892342515894354</v>
      </c>
      <c r="D36" s="378">
        <v>12.31</v>
      </c>
      <c r="E36" s="365">
        <v>11.16</v>
      </c>
      <c r="F36" s="378">
        <f>F29/F8</f>
        <v>9.9779411764705888</v>
      </c>
      <c r="G36" s="365"/>
      <c r="H36" s="146">
        <v>9.5</v>
      </c>
      <c r="I36" s="378">
        <v>7.99</v>
      </c>
      <c r="J36" s="365"/>
      <c r="K36" s="228"/>
      <c r="L36" s="227"/>
      <c r="M36" s="227"/>
      <c r="N36" s="227"/>
      <c r="O36" s="227"/>
      <c r="P36" s="227"/>
      <c r="Q36" s="227"/>
    </row>
    <row r="37" spans="1:17">
      <c r="A37" s="365"/>
      <c r="B37" s="365"/>
      <c r="C37" s="365"/>
      <c r="D37" s="365"/>
      <c r="E37" s="365"/>
      <c r="F37" s="365"/>
      <c r="G37" s="365"/>
      <c r="H37" s="365"/>
      <c r="I37" s="365"/>
      <c r="J37" s="365"/>
      <c r="L37" s="227"/>
      <c r="M37" s="227"/>
      <c r="N37" s="227"/>
      <c r="O37" s="227"/>
      <c r="P37" s="227"/>
      <c r="Q37" s="227"/>
    </row>
    <row r="38" spans="1:17">
      <c r="A38" s="441" t="s">
        <v>147</v>
      </c>
      <c r="B38" s="441"/>
      <c r="C38" s="441"/>
      <c r="D38" s="441"/>
      <c r="E38" s="441"/>
      <c r="F38" s="441"/>
      <c r="G38" s="441"/>
      <c r="H38" s="441"/>
      <c r="I38" s="441"/>
      <c r="J38" s="441"/>
      <c r="K38" s="232"/>
      <c r="L38" s="227"/>
      <c r="M38" s="227"/>
      <c r="N38" s="227"/>
      <c r="O38" s="227"/>
      <c r="P38" s="227"/>
      <c r="Q38" s="227"/>
    </row>
    <row r="39" spans="1:17">
      <c r="A39" s="365" t="s">
        <v>223</v>
      </c>
      <c r="B39" s="365"/>
      <c r="C39" s="373">
        <f>'Fairchem Organics Ltd.'!S49</f>
        <v>748.6</v>
      </c>
      <c r="D39" s="380"/>
      <c r="E39" s="365">
        <v>619</v>
      </c>
      <c r="F39" s="380"/>
      <c r="G39" s="365">
        <v>219</v>
      </c>
      <c r="H39" s="380"/>
      <c r="I39" s="365">
        <v>208</v>
      </c>
      <c r="J39" s="365">
        <v>275</v>
      </c>
      <c r="K39" s="235"/>
      <c r="L39" s="227"/>
      <c r="M39" s="227"/>
      <c r="N39" s="227"/>
      <c r="O39" s="227"/>
      <c r="P39" s="227"/>
      <c r="Q39" s="227"/>
    </row>
    <row r="40" spans="1:17">
      <c r="A40" s="365" t="s">
        <v>162</v>
      </c>
      <c r="B40" s="365">
        <v>89</v>
      </c>
      <c r="C40" s="366">
        <f>'Fairchem Organics Ltd.'!S51</f>
        <v>129.58741260782088</v>
      </c>
      <c r="D40" s="378">
        <v>180.35</v>
      </c>
      <c r="E40" s="365">
        <v>199.48</v>
      </c>
      <c r="F40" s="378">
        <v>39.57</v>
      </c>
      <c r="G40" s="365">
        <v>49.4</v>
      </c>
      <c r="H40" s="378">
        <v>180</v>
      </c>
      <c r="I40" s="365">
        <v>210</v>
      </c>
      <c r="J40" s="365">
        <v>118.05</v>
      </c>
      <c r="K40" s="228"/>
      <c r="L40" s="227"/>
      <c r="M40" s="227"/>
      <c r="N40" s="227"/>
      <c r="O40" s="227"/>
      <c r="P40" s="227"/>
      <c r="Q40" s="227"/>
    </row>
    <row r="41" spans="1:17">
      <c r="A41" s="365" t="s">
        <v>148</v>
      </c>
      <c r="B41" s="386">
        <v>0.25178431204051327</v>
      </c>
      <c r="C41" s="382"/>
      <c r="D41" s="379">
        <v>4.7100000000000003E-2</v>
      </c>
      <c r="E41" s="367"/>
      <c r="F41" s="379">
        <v>0.25259999999999999</v>
      </c>
      <c r="G41" s="367"/>
      <c r="H41" s="367">
        <v>7.2300000000000003E-2</v>
      </c>
      <c r="J41" s="367">
        <v>0.13600000000000001</v>
      </c>
      <c r="K41" s="229"/>
      <c r="L41" s="227"/>
      <c r="M41" s="227"/>
      <c r="N41" s="227"/>
      <c r="O41" s="227"/>
      <c r="P41" s="227"/>
      <c r="Q41" s="227"/>
    </row>
    <row r="42" spans="1:17">
      <c r="A42" s="365" t="s">
        <v>149</v>
      </c>
      <c r="B42" s="386">
        <v>0.30014087800484407</v>
      </c>
      <c r="C42" s="382"/>
      <c r="D42" s="379">
        <v>6.8500000000000005E-2</v>
      </c>
      <c r="E42" s="367"/>
      <c r="F42" s="379">
        <v>0.14330000000000001</v>
      </c>
      <c r="G42" s="367"/>
      <c r="H42" s="367">
        <v>6.9199999999999998E-2</v>
      </c>
      <c r="J42" s="367">
        <v>0.126</v>
      </c>
      <c r="K42" s="229"/>
      <c r="L42" s="227"/>
      <c r="M42" s="227"/>
      <c r="N42" s="227"/>
      <c r="O42" s="227"/>
      <c r="P42" s="227"/>
      <c r="Q42" s="227"/>
    </row>
    <row r="43" spans="1:17">
      <c r="A43" s="365" t="s">
        <v>150</v>
      </c>
      <c r="B43" s="365">
        <v>2.8</v>
      </c>
      <c r="C43" s="366">
        <f>'Fairchem Organics Ltd.'!S67</f>
        <v>3.2517162818519156</v>
      </c>
      <c r="D43" s="378">
        <v>2.58</v>
      </c>
      <c r="E43" s="365">
        <v>0.38</v>
      </c>
      <c r="F43" s="365">
        <v>3.93</v>
      </c>
      <c r="G43" s="146">
        <v>3.5</v>
      </c>
      <c r="H43" s="365">
        <v>10.7</v>
      </c>
      <c r="I43" s="146">
        <v>9.5</v>
      </c>
      <c r="J43" s="365">
        <v>1.82</v>
      </c>
      <c r="K43" s="228"/>
      <c r="L43" s="227"/>
      <c r="M43" s="227"/>
      <c r="N43" s="227"/>
      <c r="O43" s="227"/>
      <c r="P43" s="227"/>
      <c r="Q43" s="227"/>
    </row>
    <row r="44" spans="1:17">
      <c r="A44" s="365" t="s">
        <v>151</v>
      </c>
      <c r="B44" s="370">
        <f>'Fairchem Organics Ltd.'!S61</f>
        <v>38.953963039004016</v>
      </c>
      <c r="C44" s="102"/>
      <c r="D44" s="378">
        <v>54.71</v>
      </c>
      <c r="E44" s="365"/>
      <c r="F44" s="365">
        <v>76.680000000000007</v>
      </c>
      <c r="H44" s="365">
        <v>53.67</v>
      </c>
      <c r="J44" s="365">
        <v>84</v>
      </c>
      <c r="K44" s="236"/>
      <c r="L44" s="227"/>
      <c r="M44" s="227"/>
      <c r="N44" s="227"/>
      <c r="O44" s="227"/>
      <c r="P44" s="227"/>
      <c r="Q44" s="227"/>
    </row>
    <row r="45" spans="1:17">
      <c r="A45" s="365" t="s">
        <v>66</v>
      </c>
      <c r="B45" s="370">
        <f>'Fairchem Organics Ltd.'!S63</f>
        <v>51.007564345344747</v>
      </c>
      <c r="C45" s="102"/>
      <c r="D45" s="378">
        <v>262.3</v>
      </c>
      <c r="E45" s="365"/>
      <c r="F45" s="365">
        <v>87.25</v>
      </c>
      <c r="H45" s="365">
        <v>58.01</v>
      </c>
      <c r="J45" s="365">
        <v>369.43</v>
      </c>
      <c r="K45" s="236"/>
      <c r="L45" s="227"/>
      <c r="M45" s="227"/>
      <c r="N45" s="227"/>
      <c r="O45" s="227"/>
      <c r="P45" s="227"/>
      <c r="Q45" s="227"/>
    </row>
    <row r="46" spans="1:17">
      <c r="A46" s="365" t="s">
        <v>152</v>
      </c>
      <c r="B46" s="370">
        <f>'Fairchem Organics Ltd.'!S62</f>
        <v>11.388039436366093</v>
      </c>
      <c r="C46" s="171"/>
      <c r="D46" s="378">
        <v>145.29</v>
      </c>
      <c r="E46" s="365"/>
      <c r="F46" s="365">
        <v>88.56</v>
      </c>
      <c r="H46" s="365">
        <v>25.88</v>
      </c>
      <c r="J46" s="365">
        <v>150.47999999999999</v>
      </c>
      <c r="K46" s="236"/>
      <c r="L46" s="227"/>
      <c r="M46" s="227"/>
      <c r="N46" s="227"/>
      <c r="O46" s="227"/>
      <c r="P46" s="227"/>
      <c r="Q46" s="227"/>
    </row>
    <row r="47" spans="1:17">
      <c r="A47" s="365" t="s">
        <v>153</v>
      </c>
      <c r="B47" s="370">
        <f>'Fairchem Organics Ltd.'!S64</f>
        <v>78.57348794798267</v>
      </c>
      <c r="C47" s="171"/>
      <c r="D47" s="378">
        <v>169.71</v>
      </c>
      <c r="E47" s="365"/>
      <c r="F47" s="365">
        <v>75.37</v>
      </c>
      <c r="H47" s="365">
        <v>85.8</v>
      </c>
      <c r="J47" s="365">
        <v>285.66000000000003</v>
      </c>
      <c r="K47" s="236"/>
      <c r="L47" s="227"/>
      <c r="M47" s="227"/>
      <c r="N47" s="227"/>
      <c r="O47" s="227"/>
      <c r="P47" s="227"/>
      <c r="Q47" s="227"/>
    </row>
    <row r="48" spans="1:17">
      <c r="A48" s="365" t="s">
        <v>67</v>
      </c>
      <c r="B48" s="365"/>
      <c r="C48" s="371">
        <f>'Fairchem Organics Ltd.'!S65</f>
        <v>27.109820774314628</v>
      </c>
      <c r="D48" s="378">
        <v>152.66</v>
      </c>
      <c r="E48" s="374"/>
      <c r="F48" s="378">
        <v>61</v>
      </c>
      <c r="G48" s="365"/>
      <c r="H48" s="378">
        <v>116</v>
      </c>
      <c r="I48" s="365"/>
      <c r="J48" s="365"/>
      <c r="K48" s="237"/>
      <c r="L48" s="227"/>
      <c r="M48" s="227"/>
      <c r="N48" s="227"/>
      <c r="O48" s="227"/>
      <c r="P48" s="227"/>
      <c r="Q48" s="227"/>
    </row>
    <row r="49" spans="1:17">
      <c r="A49" s="365" t="s">
        <v>154</v>
      </c>
      <c r="B49" s="365"/>
      <c r="C49" s="370">
        <f>'Fairchem Organics Ltd.'!S58</f>
        <v>0.28574594999837022</v>
      </c>
      <c r="D49" s="378">
        <v>0.42</v>
      </c>
      <c r="E49" s="374">
        <v>0.7</v>
      </c>
      <c r="F49" s="378">
        <v>0.5</v>
      </c>
      <c r="G49" s="365">
        <v>0.4</v>
      </c>
      <c r="H49" s="378">
        <v>0.01</v>
      </c>
      <c r="I49" s="365">
        <v>0</v>
      </c>
      <c r="J49" s="365">
        <v>0.5</v>
      </c>
      <c r="K49" s="238"/>
      <c r="L49" s="227"/>
      <c r="M49" s="227"/>
      <c r="N49" s="227"/>
      <c r="O49" s="227"/>
      <c r="P49" s="227"/>
      <c r="Q49" s="227"/>
    </row>
    <row r="50" spans="1:17">
      <c r="A50" s="365" t="s">
        <v>155</v>
      </c>
      <c r="B50" s="365"/>
      <c r="C50" s="370">
        <f>'Fairchem Organics Ltd.'!S59</f>
        <v>0.28414580302190717</v>
      </c>
      <c r="D50" s="378">
        <v>0.3</v>
      </c>
      <c r="E50" s="365">
        <v>0.1</v>
      </c>
      <c r="F50" s="378">
        <v>0.2</v>
      </c>
      <c r="G50" s="365">
        <v>0.33</v>
      </c>
      <c r="H50" s="378">
        <v>0</v>
      </c>
      <c r="I50" s="146">
        <v>0</v>
      </c>
      <c r="J50" s="365">
        <v>0.31</v>
      </c>
      <c r="K50" s="238"/>
      <c r="L50" s="227"/>
      <c r="M50" s="227"/>
      <c r="N50" s="227"/>
      <c r="O50" s="227"/>
      <c r="P50" s="227"/>
      <c r="Q50" s="227"/>
    </row>
    <row r="51" spans="1:17">
      <c r="A51" s="365" t="s">
        <v>156</v>
      </c>
      <c r="B51" s="365"/>
      <c r="C51" s="375">
        <v>5.2</v>
      </c>
      <c r="D51" s="384">
        <v>2.7</v>
      </c>
      <c r="E51" s="365">
        <v>2.7</v>
      </c>
      <c r="F51" s="378">
        <v>8.3000000000000007</v>
      </c>
      <c r="G51" s="365">
        <v>7.28</v>
      </c>
      <c r="H51" s="378">
        <v>24.34</v>
      </c>
      <c r="I51" s="365">
        <v>26.2</v>
      </c>
      <c r="J51" s="365">
        <v>4.29</v>
      </c>
      <c r="K51" s="238"/>
      <c r="L51" s="361"/>
      <c r="M51" s="358"/>
      <c r="N51" s="358"/>
      <c r="O51" s="358"/>
      <c r="P51" s="358"/>
      <c r="Q51" s="227"/>
    </row>
    <row r="52" spans="1:17">
      <c r="A52" s="146" t="s">
        <v>157</v>
      </c>
      <c r="C52" s="247">
        <f>'Fairchem Organics Ltd.'!S66</f>
        <v>0.1414553916607211</v>
      </c>
      <c r="D52" s="247"/>
      <c r="K52" s="229"/>
      <c r="L52" s="227"/>
      <c r="M52" s="227"/>
      <c r="N52" s="227"/>
      <c r="O52" s="227"/>
      <c r="P52" s="227"/>
      <c r="Q52" s="227"/>
    </row>
    <row r="53" spans="1:17">
      <c r="L53" s="227"/>
      <c r="M53" s="227"/>
      <c r="N53" s="227"/>
      <c r="O53" s="227"/>
      <c r="P53" s="227"/>
      <c r="Q53" s="227"/>
    </row>
  </sheetData>
  <mergeCells count="12">
    <mergeCell ref="L1:P1"/>
    <mergeCell ref="A38:J38"/>
    <mergeCell ref="A1:J1"/>
    <mergeCell ref="A3:J3"/>
    <mergeCell ref="A17:J17"/>
    <mergeCell ref="A24:J24"/>
    <mergeCell ref="I30:J31"/>
    <mergeCell ref="A32:J32"/>
    <mergeCell ref="B4:C4"/>
    <mergeCell ref="D4:E4"/>
    <mergeCell ref="F4:G4"/>
    <mergeCell ref="H4:I4"/>
  </mergeCells>
  <pageMargins left="0.7" right="0.7" top="0.75" bottom="5.05" header="0.3" footer="0.3"/>
  <pageSetup paperSize="9" scale="46" orientation="portrait" horizontalDpi="1200" verticalDpi="1200" r:id="rId1"/>
  <colBreaks count="1" manualBreakCount="1">
    <brk id="11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ColWidth="8.81640625" defaultRowHeight="14.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Fairchem Organics Ltd.</vt:lpstr>
      <vt:lpstr>Sheet3</vt:lpstr>
      <vt:lpstr>Sheet2</vt:lpstr>
      <vt:lpstr>Standalone</vt:lpstr>
      <vt:lpstr>Standalone New</vt:lpstr>
      <vt:lpstr>Consol</vt:lpstr>
      <vt:lpstr>Peer analysis</vt:lpstr>
      <vt:lpstr>Sheet1</vt:lpstr>
      <vt:lpstr>Consol!Print_Area</vt:lpstr>
      <vt:lpstr>'Fairchem Organics Ltd.'!Print_Area</vt:lpstr>
      <vt:lpstr>'Peer analysis'!Print_Area</vt:lpstr>
      <vt:lpstr>'Standalone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2022-02-17T18:25:26Z</cp:lastPrinted>
  <dcterms:created xsi:type="dcterms:W3CDTF">2017-09-19T08:05:47Z</dcterms:created>
  <dcterms:modified xsi:type="dcterms:W3CDTF">2024-08-23T13:46:52Z</dcterms:modified>
</cp:coreProperties>
</file>