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Suraj\Amara\"/>
    </mc:Choice>
  </mc:AlternateContent>
  <bookViews>
    <workbookView xWindow="0" yWindow="0" windowWidth="19380" windowHeight="6765" tabRatio="503"/>
  </bookViews>
  <sheets>
    <sheet name="Sheet1" sheetId="1" r:id="rId1"/>
  </sheets>
  <definedNames>
    <definedName name="_xlnm.Print_Area" localSheetId="0">Sheet1!$A$1:$R$86</definedName>
  </definedNames>
  <calcPr calcId="162913"/>
</workbook>
</file>

<file path=xl/calcChain.xml><?xml version="1.0" encoding="utf-8"?>
<calcChain xmlns="http://schemas.openxmlformats.org/spreadsheetml/2006/main">
  <c r="R68" i="1" l="1"/>
  <c r="I66" i="1" l="1"/>
  <c r="I30" i="1" l="1"/>
  <c r="I27" i="1"/>
  <c r="I26" i="1"/>
  <c r="H26" i="1"/>
  <c r="H27" i="1" s="1"/>
  <c r="H34" i="1"/>
  <c r="I8" i="1"/>
  <c r="N77" i="1"/>
  <c r="O77" i="1"/>
  <c r="P77" i="1"/>
  <c r="M77" i="1"/>
  <c r="T53" i="1"/>
  <c r="R50" i="1"/>
  <c r="S46" i="1"/>
  <c r="R46" i="1"/>
  <c r="Q77" i="1" s="1"/>
  <c r="N76" i="1"/>
  <c r="O76" i="1"/>
  <c r="P76" i="1"/>
  <c r="Q76" i="1"/>
  <c r="M76" i="1"/>
  <c r="I14" i="1" l="1"/>
  <c r="H30" i="1"/>
  <c r="T46" i="1"/>
  <c r="D68" i="1"/>
  <c r="E68" i="1"/>
  <c r="F68" i="1"/>
  <c r="G68" i="1"/>
  <c r="H68" i="1"/>
  <c r="C68" i="1"/>
  <c r="H60" i="1"/>
  <c r="H62" i="1" s="1"/>
  <c r="G60" i="1"/>
  <c r="G62" i="1" s="1"/>
  <c r="P15" i="1"/>
  <c r="Q75" i="1"/>
  <c r="Q81" i="1"/>
  <c r="Q65" i="1"/>
  <c r="Q68" i="1" s="1"/>
  <c r="H7" i="1"/>
  <c r="H6" i="1"/>
  <c r="I17" i="1" l="1"/>
  <c r="I22" i="1"/>
  <c r="I24" i="1" s="1"/>
  <c r="H32" i="1"/>
  <c r="H31" i="1"/>
  <c r="H66" i="1"/>
  <c r="H64" i="1"/>
  <c r="H8" i="1"/>
  <c r="G8" i="1"/>
  <c r="P78" i="1" s="1"/>
  <c r="P81" i="1"/>
  <c r="O81" i="1"/>
  <c r="N81" i="1"/>
  <c r="M81" i="1"/>
  <c r="L81" i="1"/>
  <c r="P75" i="1"/>
  <c r="O75" i="1"/>
  <c r="N75" i="1"/>
  <c r="M75" i="1"/>
  <c r="L75" i="1"/>
  <c r="M66" i="1"/>
  <c r="M69" i="1" s="1"/>
  <c r="G66" i="1"/>
  <c r="F66" i="1"/>
  <c r="E66" i="1"/>
  <c r="D66" i="1"/>
  <c r="C66" i="1"/>
  <c r="P65" i="1"/>
  <c r="P68" i="1" s="1"/>
  <c r="O65" i="1"/>
  <c r="O68" i="1" s="1"/>
  <c r="N65" i="1"/>
  <c r="N68" i="1" s="1"/>
  <c r="M65" i="1"/>
  <c r="M68" i="1" s="1"/>
  <c r="L65" i="1"/>
  <c r="L68" i="1" s="1"/>
  <c r="C61" i="1"/>
  <c r="F60" i="1"/>
  <c r="F62" i="1" s="1"/>
  <c r="E60" i="1"/>
  <c r="E62" i="1" s="1"/>
  <c r="D60" i="1"/>
  <c r="D62" i="1" s="1"/>
  <c r="C60" i="1"/>
  <c r="C62" i="1" s="1"/>
  <c r="H59" i="1"/>
  <c r="H53" i="1"/>
  <c r="G53" i="1"/>
  <c r="F53" i="1"/>
  <c r="E53" i="1"/>
  <c r="D53" i="1"/>
  <c r="C53" i="1"/>
  <c r="C54" i="1" s="1"/>
  <c r="Q52" i="1"/>
  <c r="P52" i="1"/>
  <c r="O52" i="1"/>
  <c r="N52" i="1"/>
  <c r="M52" i="1"/>
  <c r="L52" i="1"/>
  <c r="D47" i="1"/>
  <c r="D54" i="1" s="1"/>
  <c r="E47" i="1" s="1"/>
  <c r="E54" i="1" s="1"/>
  <c r="F47" i="1" s="1"/>
  <c r="F54" i="1" s="1"/>
  <c r="Q40" i="1"/>
  <c r="P40" i="1"/>
  <c r="O40" i="1"/>
  <c r="N40" i="1"/>
  <c r="G34" i="1"/>
  <c r="Q28" i="1"/>
  <c r="P28" i="1"/>
  <c r="O28" i="1"/>
  <c r="N28" i="1"/>
  <c r="M28" i="1"/>
  <c r="L28" i="1"/>
  <c r="Q15" i="1"/>
  <c r="O15" i="1"/>
  <c r="N15" i="1"/>
  <c r="L15" i="1"/>
  <c r="O10" i="1"/>
  <c r="N10" i="1"/>
  <c r="M10" i="1"/>
  <c r="M40" i="1" s="1"/>
  <c r="M60" i="1" s="1"/>
  <c r="L10" i="1"/>
  <c r="L40" i="1" s="1"/>
  <c r="Q11" i="1"/>
  <c r="P11" i="1"/>
  <c r="O9" i="1"/>
  <c r="N9" i="1"/>
  <c r="N11" i="1" s="1"/>
  <c r="N74" i="1" s="1"/>
  <c r="M9" i="1"/>
  <c r="M11" i="1" s="1"/>
  <c r="M74" i="1" s="1"/>
  <c r="L9" i="1"/>
  <c r="Q8" i="1"/>
  <c r="P8" i="1"/>
  <c r="O8" i="1"/>
  <c r="N8" i="1"/>
  <c r="L8" i="1"/>
  <c r="F8" i="1"/>
  <c r="O78" i="1" s="1"/>
  <c r="E8" i="1"/>
  <c r="N78" i="1" s="1"/>
  <c r="D8" i="1"/>
  <c r="C8" i="1"/>
  <c r="C14" i="1" s="1"/>
  <c r="G7" i="1"/>
  <c r="F7" i="1"/>
  <c r="G6" i="1"/>
  <c r="F6" i="1"/>
  <c r="E6" i="1"/>
  <c r="D6" i="1"/>
  <c r="H67" i="1" l="1"/>
  <c r="Q82" i="1"/>
  <c r="H14" i="1"/>
  <c r="Q78" i="1"/>
  <c r="Q79" i="1" s="1"/>
  <c r="O11" i="1"/>
  <c r="O74" i="1" s="1"/>
  <c r="L11" i="1"/>
  <c r="L74" i="1" s="1"/>
  <c r="G54" i="1"/>
  <c r="H54" i="1" s="1"/>
  <c r="Q74" i="1"/>
  <c r="P74" i="1"/>
  <c r="Q66" i="1"/>
  <c r="Q69" i="1" s="1"/>
  <c r="Q73" i="1"/>
  <c r="L83" i="1"/>
  <c r="C22" i="1"/>
  <c r="C17" i="1"/>
  <c r="M78" i="1"/>
  <c r="D14" i="1"/>
  <c r="E14" i="1"/>
  <c r="F14" i="1"/>
  <c r="G14" i="1"/>
  <c r="L66" i="1"/>
  <c r="L69" i="1" s="1"/>
  <c r="L60" i="1"/>
  <c r="L12" i="1"/>
  <c r="L72" i="1" s="1"/>
  <c r="N66" i="1"/>
  <c r="N69" i="1" s="1"/>
  <c r="N60" i="1"/>
  <c r="N12" i="1"/>
  <c r="O66" i="1"/>
  <c r="O69" i="1" s="1"/>
  <c r="O60" i="1"/>
  <c r="O12" i="1"/>
  <c r="P66" i="1"/>
  <c r="P69" i="1" s="1"/>
  <c r="P12" i="1"/>
  <c r="Q12" i="1"/>
  <c r="L82" i="1"/>
  <c r="L73" i="1"/>
  <c r="C67" i="1"/>
  <c r="M82" i="1"/>
  <c r="M73" i="1"/>
  <c r="D67" i="1"/>
  <c r="N82" i="1"/>
  <c r="N73" i="1"/>
  <c r="E67" i="1"/>
  <c r="E69" i="1" s="1"/>
  <c r="N70" i="1" s="1"/>
  <c r="O82" i="1"/>
  <c r="O73" i="1"/>
  <c r="F67" i="1"/>
  <c r="P82" i="1"/>
  <c r="P73" i="1"/>
  <c r="G67" i="1"/>
  <c r="G69" i="1" s="1"/>
  <c r="H22" i="1"/>
  <c r="H17" i="1"/>
  <c r="L59" i="1"/>
  <c r="L13" i="1" s="1"/>
  <c r="L51" i="1"/>
  <c r="M59" i="1"/>
  <c r="M51" i="1"/>
  <c r="N59" i="1"/>
  <c r="N13" i="1" s="1"/>
  <c r="N51" i="1"/>
  <c r="O59" i="1"/>
  <c r="O13" i="1" s="1"/>
  <c r="O51" i="1"/>
  <c r="P59" i="1"/>
  <c r="P13" i="1" s="1"/>
  <c r="P51" i="1"/>
  <c r="Q59" i="1"/>
  <c r="Q13" i="1" s="1"/>
  <c r="Q51" i="1"/>
  <c r="P60" i="1"/>
  <c r="Q60" i="1"/>
  <c r="C69" i="1"/>
  <c r="L70" i="1" s="1"/>
  <c r="D69" i="1"/>
  <c r="M70" i="1" s="1"/>
  <c r="F69" i="1"/>
  <c r="O70" i="1" s="1"/>
  <c r="H69" i="1"/>
  <c r="Q70" i="1" s="1"/>
  <c r="M79" i="1"/>
  <c r="N79" i="1"/>
  <c r="O79" i="1"/>
  <c r="Q72" i="1" l="1"/>
  <c r="Q83" i="1"/>
  <c r="H15" i="1"/>
  <c r="H16" i="1"/>
  <c r="Q80" i="1"/>
  <c r="H24" i="1"/>
  <c r="Q84" i="1" s="1"/>
  <c r="Q71" i="1"/>
  <c r="P79" i="1"/>
  <c r="P70" i="1"/>
  <c r="P80" i="1"/>
  <c r="O80" i="1"/>
  <c r="N80" i="1"/>
  <c r="M80" i="1"/>
  <c r="S35" i="1"/>
  <c r="P83" i="1"/>
  <c r="P72" i="1"/>
  <c r="G22" i="1"/>
  <c r="G26" i="1" s="1"/>
  <c r="G17" i="1"/>
  <c r="G16" i="1"/>
  <c r="G15" i="1"/>
  <c r="O83" i="1"/>
  <c r="O72" i="1"/>
  <c r="F22" i="1"/>
  <c r="F17" i="1"/>
  <c r="F16" i="1"/>
  <c r="F15" i="1"/>
  <c r="N83" i="1"/>
  <c r="N72" i="1"/>
  <c r="E22" i="1"/>
  <c r="E17" i="1"/>
  <c r="E15" i="1"/>
  <c r="M83" i="1"/>
  <c r="M72" i="1"/>
  <c r="D22" i="1"/>
  <c r="D17" i="1"/>
  <c r="D15" i="1"/>
  <c r="C26" i="1"/>
  <c r="C24" i="1"/>
  <c r="L84" i="1" s="1"/>
  <c r="L71" i="1" l="1"/>
  <c r="C30" i="1"/>
  <c r="C27" i="1"/>
  <c r="D26" i="1"/>
  <c r="D24" i="1"/>
  <c r="M84" i="1" s="1"/>
  <c r="E26" i="1"/>
  <c r="E24" i="1"/>
  <c r="N84" i="1" s="1"/>
  <c r="F26" i="1"/>
  <c r="F24" i="1"/>
  <c r="O84" i="1" s="1"/>
  <c r="G24" i="1"/>
  <c r="P84" i="1" s="1"/>
  <c r="P71" i="1" l="1"/>
  <c r="G30" i="1"/>
  <c r="G27" i="1"/>
  <c r="O71" i="1"/>
  <c r="F30" i="1"/>
  <c r="F27" i="1"/>
  <c r="N71" i="1"/>
  <c r="E30" i="1"/>
  <c r="E27" i="1"/>
  <c r="M71" i="1"/>
  <c r="D30" i="1"/>
  <c r="D31" i="1" s="1"/>
  <c r="D27" i="1"/>
  <c r="E31" i="1" l="1"/>
  <c r="F32" i="1"/>
  <c r="F31" i="1"/>
  <c r="G32" i="1"/>
  <c r="G31" i="1"/>
</calcChain>
</file>

<file path=xl/sharedStrings.xml><?xml version="1.0" encoding="utf-8"?>
<sst xmlns="http://schemas.openxmlformats.org/spreadsheetml/2006/main" count="195" uniqueCount="130">
  <si>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</si>
  <si>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</si>
  <si>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</si>
  <si>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</si>
  <si>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</si>
  <si>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</si>
  <si>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</si>
  <si>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</si>
  <si>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</si>
  <si>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</si>
  <si>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</si>
  <si>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</si>
  <si>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</si>
  <si>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</si>
  <si>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</si>
  <si>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</si>
  <si>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</si>
  <si>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</si>
  <si>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</si>
  <si>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</si>
  <si>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</si>
  <si>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</si>
  <si>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</si>
  <si>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</si>
  <si>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</si>
  <si>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</si>
  <si>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</si>
  <si>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</si>
  <si>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</si>
  <si>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</si>
  <si>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</si>
  <si>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</si>
  <si>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</si>
  <si>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</si>
  <si>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</si>
  <si>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</si>
  <si>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</si>
  <si>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>Exception item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</si>
  <si>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</si>
  <si>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</si>
  <si>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</si>
  <si>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</si>
  <si>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</si>
  <si>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</si>
  <si>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</si>
  <si>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</si>
  <si>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</si>
  <si>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</si>
  <si>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</si>
  <si>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</si>
  <si>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</si>
  <si>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</si>
  <si>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</si>
  <si>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</si>
  <si>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</si>
  <si>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>PAT After MI</t>
  </si>
  <si>
    <t xml:space="preserve">Inventories </t>
  </si>
  <si>
    <t>CAGR (%)</t>
  </si>
  <si>
    <t>EPS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</si>
  <si>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</si>
  <si>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</si>
  <si>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</si>
  <si>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</si>
  <si>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</si>
  <si>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</si>
  <si>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</si>
  <si>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</si>
  <si>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</si>
  <si>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</si>
  <si>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</si>
  <si>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</si>
  <si>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</si>
  <si>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</si>
  <si>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</si>
  <si>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</si>
  <si>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</si>
  <si>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</si>
  <si>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</si>
  <si>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</si>
  <si>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</si>
  <si>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</si>
  <si>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</si>
  <si>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</si>
  <si>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</si>
  <si>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</si>
  <si>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</si>
  <si>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</si>
  <si>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</si>
  <si>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</si>
  <si>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</si>
  <si>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</si>
  <si>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</si>
  <si>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</si>
  <si>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</si>
  <si>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</si>
  <si>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</si>
  <si>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</si>
  <si>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</si>
  <si>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</si>
  <si>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</si>
  <si>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</si>
  <si>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</si>
  <si>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</si>
  <si>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</si>
  <si>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</si>
  <si>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</si>
  <si>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Cash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</si>
  <si>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</si>
  <si>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</si>
  <si>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</si>
  <si>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</si>
  <si>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</si>
  <si>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</si>
  <si>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</si>
  <si>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</si>
  <si>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</si>
  <si>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</si>
  <si>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</si>
  <si>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</si>
  <si>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</si>
  <si>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</si>
  <si>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</si>
  <si>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</si>
  <si>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</si>
  <si>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</si>
  <si>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</si>
  <si>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>FY24</t>
  </si>
  <si>
    <t>Q1FY25</t>
  </si>
  <si>
    <t>Q1 FY25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</si>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</sst>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\-??_ ;_ @_ "/>
    <numFmt numFmtId="165" formatCode="0.0%"/>
    <numFmt numFmtId="166" formatCode="_ * #,##0.0_ ;_ * \-#,##0.0_ ;_ * \-??_ ;_ @_ "/>
    <numFmt numFmtId="167" formatCode="_ * #,##0.000_ ;_ * \-#,##0.000_ ;_ * \-??_ ;_ @_ "/>
  </numFmts>
  <fonts count="24">
    <font>
      <sz val="11"/>
      <color rgb="FF000000"/>
      <name val="Calibri"/>
      <charset val="134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charset val="1"/>
    </font>
    <font>
      <i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sz val="12"/>
      <color rgb="FF000000"/>
      <name val="MyFirstFont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 applyBorder="0" applyProtection="0"/>
    <xf numFmtId="9" fontId="14" fillId="0" borderId="0" applyBorder="0" applyProtection="0"/>
    <xf numFmtId="164" fontId="14" fillId="0" borderId="0" applyBorder="0" applyProtection="0"/>
  </cellStyleXfs>
  <cellXfs count="234">
    <xf numFmtId="0" fontId="0" fillId="0" borderId="0" xfId="0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right"/>
    </xf>
    <xf numFmtId="0" fontId="2" fillId="0" borderId="8" xfId="0" applyFont="1" applyBorder="1"/>
    <xf numFmtId="2" fontId="2" fillId="0" borderId="9" xfId="0" applyNumberFormat="1" applyFont="1" applyBorder="1"/>
    <xf numFmtId="164" fontId="4" fillId="0" borderId="9" xfId="3" applyFont="1" applyBorder="1" applyProtection="1"/>
    <xf numFmtId="164" fontId="6" fillId="0" borderId="4" xfId="3" applyFont="1" applyBorder="1" applyProtection="1"/>
    <xf numFmtId="0" fontId="7" fillId="2" borderId="8" xfId="0" applyFont="1" applyFill="1" applyBorder="1"/>
    <xf numFmtId="10" fontId="7" fillId="2" borderId="9" xfId="2" applyNumberFormat="1" applyFont="1" applyFill="1" applyBorder="1" applyProtection="1"/>
    <xf numFmtId="0" fontId="7" fillId="2" borderId="9" xfId="0" applyFont="1" applyFill="1" applyBorder="1"/>
    <xf numFmtId="165" fontId="7" fillId="2" borderId="9" xfId="0" applyNumberFormat="1" applyFont="1" applyFill="1" applyBorder="1"/>
    <xf numFmtId="0" fontId="2" fillId="2" borderId="8" xfId="0" applyFont="1" applyFill="1" applyBorder="1"/>
    <xf numFmtId="164" fontId="2" fillId="2" borderId="9" xfId="3" applyFont="1" applyFill="1" applyBorder="1" applyProtection="1"/>
    <xf numFmtId="0" fontId="3" fillId="0" borderId="8" xfId="0" applyFont="1" applyBorder="1"/>
    <xf numFmtId="2" fontId="3" fillId="0" borderId="9" xfId="0" applyNumberFormat="1" applyFont="1" applyBorder="1"/>
    <xf numFmtId="2" fontId="5" fillId="0" borderId="9" xfId="0" applyNumberFormat="1" applyFont="1" applyBorder="1"/>
    <xf numFmtId="164" fontId="8" fillId="0" borderId="9" xfId="3" applyFont="1" applyBorder="1" applyProtection="1"/>
    <xf numFmtId="167" fontId="2" fillId="2" borderId="9" xfId="3" applyNumberFormat="1" applyFont="1" applyFill="1" applyBorder="1" applyProtection="1"/>
    <xf numFmtId="0" fontId="3" fillId="0" borderId="9" xfId="0" applyFont="1" applyBorder="1"/>
    <xf numFmtId="164" fontId="0" fillId="0" borderId="0" xfId="0" applyNumberFormat="1"/>
    <xf numFmtId="10" fontId="4" fillId="2" borderId="9" xfId="0" applyNumberFormat="1" applyFont="1" applyFill="1" applyBorder="1"/>
    <xf numFmtId="167" fontId="0" fillId="0" borderId="0" xfId="0" applyNumberFormat="1"/>
    <xf numFmtId="2" fontId="5" fillId="0" borderId="9" xfId="3" applyNumberFormat="1" applyFont="1" applyBorder="1" applyProtection="1"/>
    <xf numFmtId="0" fontId="6" fillId="0" borderId="8" xfId="0" applyFont="1" applyBorder="1"/>
    <xf numFmtId="10" fontId="14" fillId="0" borderId="0" xfId="2" applyNumberFormat="1" applyBorder="1" applyProtection="1"/>
    <xf numFmtId="166" fontId="5" fillId="0" borderId="9" xfId="3" applyNumberFormat="1" applyFont="1" applyBorder="1" applyProtection="1"/>
    <xf numFmtId="0" fontId="8" fillId="0" borderId="8" xfId="0" applyFont="1" applyBorder="1"/>
    <xf numFmtId="0" fontId="8" fillId="0" borderId="9" xfId="0" applyFont="1" applyBorder="1"/>
    <xf numFmtId="10" fontId="7" fillId="2" borderId="9" xfId="0" applyNumberFormat="1" applyFont="1" applyFill="1" applyBorder="1"/>
    <xf numFmtId="0" fontId="7" fillId="0" borderId="8" xfId="0" applyFont="1" applyBorder="1"/>
    <xf numFmtId="2" fontId="7" fillId="0" borderId="9" xfId="0" applyNumberFormat="1" applyFont="1" applyBorder="1"/>
    <xf numFmtId="10" fontId="2" fillId="2" borderId="9" xfId="2" applyNumberFormat="1" applyFont="1" applyFill="1" applyBorder="1" applyProtection="1"/>
    <xf numFmtId="164" fontId="3" fillId="0" borderId="9" xfId="1" applyFont="1" applyBorder="1" applyProtection="1"/>
    <xf numFmtId="164" fontId="3" fillId="3" borderId="9" xfId="1" applyFont="1" applyFill="1" applyBorder="1" applyProtection="1"/>
    <xf numFmtId="0" fontId="7" fillId="2" borderId="11" xfId="0" applyFont="1" applyFill="1" applyBorder="1"/>
    <xf numFmtId="0" fontId="7" fillId="2" borderId="12" xfId="0" applyFont="1" applyFill="1" applyBorder="1"/>
    <xf numFmtId="165" fontId="7" fillId="2" borderId="12" xfId="0" applyNumberFormat="1" applyFont="1" applyFill="1" applyBorder="1"/>
    <xf numFmtId="165" fontId="9" fillId="2" borderId="12" xfId="0" applyNumberFormat="1" applyFont="1" applyFill="1" applyBorder="1"/>
    <xf numFmtId="0" fontId="0" fillId="0" borderId="14" xfId="0" applyBorder="1"/>
    <xf numFmtId="0" fontId="7" fillId="3" borderId="0" xfId="0" applyFont="1" applyFill="1"/>
    <xf numFmtId="165" fontId="7" fillId="3" borderId="0" xfId="0" applyNumberFormat="1" applyFont="1" applyFill="1"/>
    <xf numFmtId="165" fontId="7" fillId="3" borderId="14" xfId="0" applyNumberFormat="1" applyFont="1" applyFill="1" applyBorder="1"/>
    <xf numFmtId="0" fontId="3" fillId="0" borderId="14" xfId="0" applyFont="1" applyBorder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14" xfId="0" applyFont="1" applyFill="1" applyBorder="1" applyAlignment="1">
      <alignment horizontal="right"/>
    </xf>
    <xf numFmtId="0" fontId="3" fillId="3" borderId="8" xfId="0" applyFont="1" applyFill="1" applyBorder="1"/>
    <xf numFmtId="0" fontId="0" fillId="0" borderId="9" xfId="0" applyBorder="1"/>
    <xf numFmtId="2" fontId="3" fillId="3" borderId="9" xfId="0" applyNumberFormat="1" applyFont="1" applyFill="1" applyBorder="1"/>
    <xf numFmtId="164" fontId="0" fillId="0" borderId="9" xfId="0" applyNumberFormat="1" applyBorder="1"/>
    <xf numFmtId="164" fontId="3" fillId="3" borderId="9" xfId="0" applyNumberFormat="1" applyFont="1" applyFill="1" applyBorder="1"/>
    <xf numFmtId="0" fontId="10" fillId="2" borderId="8" xfId="0" applyFont="1" applyFill="1" applyBorder="1"/>
    <xf numFmtId="0" fontId="11" fillId="0" borderId="9" xfId="0" applyFont="1" applyBorder="1"/>
    <xf numFmtId="0" fontId="2" fillId="2" borderId="11" xfId="0" applyFont="1" applyFill="1" applyBorder="1"/>
    <xf numFmtId="164" fontId="2" fillId="2" borderId="12" xfId="0" applyNumberFormat="1" applyFont="1" applyFill="1" applyBorder="1"/>
    <xf numFmtId="164" fontId="2" fillId="3" borderId="0" xfId="0" applyNumberFormat="1" applyFont="1" applyFill="1"/>
    <xf numFmtId="0" fontId="12" fillId="0" borderId="0" xfId="0" applyFont="1"/>
    <xf numFmtId="0" fontId="10" fillId="2" borderId="1" xfId="0" applyFont="1" applyFill="1" applyBorder="1"/>
    <xf numFmtId="0" fontId="2" fillId="2" borderId="15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3" borderId="17" xfId="0" applyFont="1" applyFill="1" applyBorder="1"/>
    <xf numFmtId="164" fontId="4" fillId="3" borderId="18" xfId="1" applyFont="1" applyFill="1" applyBorder="1" applyProtection="1"/>
    <xf numFmtId="164" fontId="4" fillId="3" borderId="19" xfId="1" applyFont="1" applyFill="1" applyBorder="1" applyProtection="1"/>
    <xf numFmtId="0" fontId="5" fillId="3" borderId="20" xfId="0" applyFont="1" applyFill="1" applyBorder="1"/>
    <xf numFmtId="164" fontId="5" fillId="3" borderId="21" xfId="1" applyFont="1" applyFill="1" applyBorder="1" applyProtection="1"/>
    <xf numFmtId="164" fontId="5" fillId="3" borderId="22" xfId="1" applyFont="1" applyFill="1" applyBorder="1" applyProtection="1"/>
    <xf numFmtId="0" fontId="4" fillId="2" borderId="24" xfId="0" applyFont="1" applyFill="1" applyBorder="1"/>
    <xf numFmtId="164" fontId="4" fillId="2" borderId="25" xfId="1" applyFont="1" applyFill="1" applyBorder="1" applyProtection="1"/>
    <xf numFmtId="0" fontId="4" fillId="2" borderId="3" xfId="0" applyFont="1" applyFill="1" applyBorder="1"/>
    <xf numFmtId="0" fontId="11" fillId="0" borderId="0" xfId="0" applyFont="1"/>
    <xf numFmtId="166" fontId="2" fillId="2" borderId="12" xfId="1" applyNumberFormat="1" applyFont="1" applyFill="1" applyBorder="1" applyProtection="1"/>
    <xf numFmtId="164" fontId="3" fillId="0" borderId="0" xfId="0" applyNumberFormat="1" applyFont="1"/>
    <xf numFmtId="0" fontId="4" fillId="4" borderId="5" xfId="0" applyFont="1" applyFill="1" applyBorder="1" applyAlignment="1">
      <alignment horizontal="right"/>
    </xf>
    <xf numFmtId="0" fontId="0" fillId="0" borderId="10" xfId="0" applyBorder="1"/>
    <xf numFmtId="0" fontId="15" fillId="2" borderId="4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0" fontId="6" fillId="5" borderId="8" xfId="0" applyFont="1" applyFill="1" applyBorder="1"/>
    <xf numFmtId="0" fontId="10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7" fillId="0" borderId="3" xfId="0" applyFont="1" applyBorder="1"/>
    <xf numFmtId="164" fontId="17" fillId="0" borderId="4" xfId="3" applyFont="1" applyBorder="1" applyProtection="1"/>
    <xf numFmtId="0" fontId="17" fillId="0" borderId="8" xfId="0" applyFont="1" applyBorder="1"/>
    <xf numFmtId="164" fontId="18" fillId="0" borderId="9" xfId="3" applyFont="1" applyBorder="1" applyProtection="1"/>
    <xf numFmtId="166" fontId="18" fillId="0" borderId="9" xfId="3" applyNumberFormat="1" applyFont="1" applyBorder="1" applyProtection="1"/>
    <xf numFmtId="166" fontId="18" fillId="0" borderId="26" xfId="3" applyNumberFormat="1" applyFont="1" applyBorder="1" applyProtection="1"/>
    <xf numFmtId="166" fontId="18" fillId="0" borderId="10" xfId="3" applyNumberFormat="1" applyFont="1" applyBorder="1" applyProtection="1"/>
    <xf numFmtId="0" fontId="19" fillId="2" borderId="8" xfId="0" applyFont="1" applyFill="1" applyBorder="1"/>
    <xf numFmtId="164" fontId="19" fillId="2" borderId="9" xfId="1" applyFont="1" applyFill="1" applyBorder="1" applyProtection="1"/>
    <xf numFmtId="164" fontId="19" fillId="2" borderId="26" xfId="1" applyFont="1" applyFill="1" applyBorder="1" applyProtection="1"/>
    <xf numFmtId="164" fontId="19" fillId="2" borderId="10" xfId="1" applyFont="1" applyFill="1" applyBorder="1" applyProtection="1"/>
    <xf numFmtId="0" fontId="18" fillId="0" borderId="0" xfId="0" applyFont="1"/>
    <xf numFmtId="0" fontId="18" fillId="0" borderId="10" xfId="0" applyFont="1" applyBorder="1"/>
    <xf numFmtId="0" fontId="17" fillId="5" borderId="8" xfId="0" applyFont="1" applyFill="1" applyBorder="1"/>
    <xf numFmtId="166" fontId="17" fillId="0" borderId="9" xfId="1" applyNumberFormat="1" applyFont="1" applyBorder="1" applyProtection="1"/>
    <xf numFmtId="0" fontId="18" fillId="0" borderId="26" xfId="0" applyFont="1" applyBorder="1"/>
    <xf numFmtId="164" fontId="17" fillId="0" borderId="9" xfId="3" applyFont="1" applyBorder="1" applyProtection="1"/>
    <xf numFmtId="0" fontId="19" fillId="0" borderId="8" xfId="0" applyFont="1" applyBorder="1"/>
    <xf numFmtId="164" fontId="19" fillId="0" borderId="9" xfId="1" applyFont="1" applyBorder="1" applyProtection="1"/>
    <xf numFmtId="164" fontId="19" fillId="0" borderId="26" xfId="1" applyFont="1" applyBorder="1" applyProtection="1"/>
    <xf numFmtId="164" fontId="19" fillId="0" borderId="10" xfId="1" applyFont="1" applyBorder="1" applyProtection="1"/>
    <xf numFmtId="164" fontId="18" fillId="2" borderId="9" xfId="3" applyFont="1" applyFill="1" applyBorder="1" applyProtection="1"/>
    <xf numFmtId="164" fontId="18" fillId="2" borderId="26" xfId="3" applyFont="1" applyFill="1" applyBorder="1" applyProtection="1"/>
    <xf numFmtId="164" fontId="18" fillId="2" borderId="10" xfId="3" applyFont="1" applyFill="1" applyBorder="1" applyProtection="1"/>
    <xf numFmtId="0" fontId="18" fillId="0" borderId="8" xfId="0" applyFont="1" applyBorder="1"/>
    <xf numFmtId="0" fontId="18" fillId="0" borderId="9" xfId="0" applyFont="1" applyBorder="1"/>
    <xf numFmtId="0" fontId="17" fillId="2" borderId="8" xfId="0" applyFont="1" applyFill="1" applyBorder="1"/>
    <xf numFmtId="2" fontId="17" fillId="0" borderId="9" xfId="0" applyNumberFormat="1" applyFont="1" applyBorder="1"/>
    <xf numFmtId="0" fontId="18" fillId="2" borderId="8" xfId="0" applyFont="1" applyFill="1" applyBorder="1"/>
    <xf numFmtId="0" fontId="18" fillId="2" borderId="11" xfId="0" applyFont="1" applyFill="1" applyBorder="1"/>
    <xf numFmtId="164" fontId="19" fillId="3" borderId="23" xfId="1" applyFont="1" applyFill="1" applyBorder="1" applyProtection="1"/>
    <xf numFmtId="0" fontId="18" fillId="0" borderId="23" xfId="0" applyFont="1" applyBorder="1"/>
    <xf numFmtId="3" fontId="22" fillId="0" borderId="9" xfId="0" applyNumberFormat="1" applyFont="1" applyBorder="1"/>
    <xf numFmtId="3" fontId="22" fillId="3" borderId="9" xfId="0" applyNumberFormat="1" applyFont="1" applyFill="1" applyBorder="1" applyAlignment="1">
      <alignment horizontal="right" vertical="center" wrapText="1" indent="1"/>
    </xf>
    <xf numFmtId="164" fontId="22" fillId="0" borderId="9" xfId="1" applyFont="1" applyBorder="1" applyProtection="1"/>
    <xf numFmtId="164" fontId="22" fillId="0" borderId="10" xfId="1" applyFont="1" applyBorder="1" applyProtection="1"/>
    <xf numFmtId="166" fontId="22" fillId="0" borderId="9" xfId="1" applyNumberFormat="1" applyFont="1" applyBorder="1" applyProtection="1"/>
    <xf numFmtId="2" fontId="22" fillId="0" borderId="9" xfId="0" applyNumberFormat="1" applyFont="1" applyBorder="1"/>
    <xf numFmtId="164" fontId="19" fillId="0" borderId="30" xfId="1" applyFont="1" applyBorder="1" applyProtection="1"/>
    <xf numFmtId="10" fontId="21" fillId="6" borderId="9" xfId="2" applyNumberFormat="1" applyFont="1" applyFill="1" applyBorder="1" applyProtection="1"/>
    <xf numFmtId="10" fontId="21" fillId="6" borderId="10" xfId="2" applyNumberFormat="1" applyFont="1" applyFill="1" applyBorder="1" applyProtection="1"/>
    <xf numFmtId="164" fontId="20" fillId="6" borderId="9" xfId="3" applyFont="1" applyFill="1" applyBorder="1" applyProtection="1"/>
    <xf numFmtId="164" fontId="20" fillId="6" borderId="10" xfId="3" applyFont="1" applyFill="1" applyBorder="1" applyProtection="1"/>
    <xf numFmtId="165" fontId="21" fillId="6" borderId="9" xfId="0" applyNumberFormat="1" applyFont="1" applyFill="1" applyBorder="1"/>
    <xf numFmtId="165" fontId="21" fillId="6" borderId="10" xfId="0" applyNumberFormat="1" applyFont="1" applyFill="1" applyBorder="1"/>
    <xf numFmtId="10" fontId="19" fillId="6" borderId="9" xfId="0" applyNumberFormat="1" applyFont="1" applyFill="1" applyBorder="1"/>
    <xf numFmtId="10" fontId="21" fillId="6" borderId="26" xfId="0" applyNumberFormat="1" applyFont="1" applyFill="1" applyBorder="1"/>
    <xf numFmtId="164" fontId="20" fillId="6" borderId="26" xfId="3" applyFont="1" applyFill="1" applyBorder="1" applyProtection="1"/>
    <xf numFmtId="10" fontId="20" fillId="6" borderId="26" xfId="2" applyNumberFormat="1" applyFont="1" applyFill="1" applyBorder="1" applyProtection="1"/>
    <xf numFmtId="10" fontId="21" fillId="6" borderId="26" xfId="2" applyNumberFormat="1" applyFont="1" applyFill="1" applyBorder="1" applyProtection="1"/>
    <xf numFmtId="165" fontId="21" fillId="6" borderId="26" xfId="0" applyNumberFormat="1" applyFont="1" applyFill="1" applyBorder="1"/>
    <xf numFmtId="165" fontId="21" fillId="6" borderId="27" xfId="0" applyNumberFormat="1" applyFont="1" applyFill="1" applyBorder="1"/>
    <xf numFmtId="165" fontId="21" fillId="6" borderId="13" xfId="0" applyNumberFormat="1" applyFont="1" applyFill="1" applyBorder="1"/>
    <xf numFmtId="4" fontId="20" fillId="0" borderId="9" xfId="0" applyNumberFormat="1" applyFont="1" applyBorder="1"/>
    <xf numFmtId="4" fontId="20" fillId="0" borderId="10" xfId="0" applyNumberFormat="1" applyFont="1" applyBorder="1"/>
    <xf numFmtId="4" fontId="18" fillId="0" borderId="9" xfId="0" applyNumberFormat="1" applyFont="1" applyBorder="1"/>
    <xf numFmtId="4" fontId="18" fillId="0" borderId="10" xfId="0" applyNumberFormat="1" applyFont="1" applyBorder="1"/>
    <xf numFmtId="2" fontId="18" fillId="0" borderId="9" xfId="0" applyNumberFormat="1" applyFont="1" applyBorder="1"/>
    <xf numFmtId="2" fontId="18" fillId="0" borderId="10" xfId="0" applyNumberFormat="1" applyFont="1" applyBorder="1"/>
    <xf numFmtId="2" fontId="17" fillId="0" borderId="9" xfId="3" applyNumberFormat="1" applyFont="1" applyBorder="1" applyProtection="1"/>
    <xf numFmtId="2" fontId="21" fillId="0" borderId="26" xfId="0" applyNumberFormat="1" applyFont="1" applyBorder="1"/>
    <xf numFmtId="164" fontId="18" fillId="0" borderId="26" xfId="1" applyFont="1" applyBorder="1" applyProtection="1"/>
    <xf numFmtId="164" fontId="18" fillId="0" borderId="9" xfId="0" applyNumberFormat="1" applyFont="1" applyBorder="1"/>
    <xf numFmtId="164" fontId="18" fillId="0" borderId="10" xfId="0" applyNumberFormat="1" applyFont="1" applyBorder="1"/>
    <xf numFmtId="164" fontId="17" fillId="0" borderId="26" xfId="3" applyFont="1" applyBorder="1" applyProtection="1"/>
    <xf numFmtId="164" fontId="18" fillId="0" borderId="26" xfId="3" applyFont="1" applyBorder="1" applyProtection="1"/>
    <xf numFmtId="164" fontId="18" fillId="0" borderId="10" xfId="3" applyFont="1" applyBorder="1" applyProtection="1"/>
    <xf numFmtId="166" fontId="17" fillId="0" borderId="26" xfId="1" applyNumberFormat="1" applyFont="1" applyBorder="1" applyProtection="1"/>
    <xf numFmtId="166" fontId="17" fillId="0" borderId="10" xfId="1" applyNumberFormat="1" applyFont="1" applyBorder="1" applyProtection="1"/>
    <xf numFmtId="164" fontId="19" fillId="6" borderId="26" xfId="1" applyFont="1" applyFill="1" applyBorder="1" applyProtection="1"/>
    <xf numFmtId="164" fontId="19" fillId="6" borderId="10" xfId="1" applyFont="1" applyFill="1" applyBorder="1" applyProtection="1"/>
    <xf numFmtId="164" fontId="19" fillId="6" borderId="9" xfId="1" applyFont="1" applyFill="1" applyBorder="1" applyProtection="1"/>
    <xf numFmtId="164" fontId="17" fillId="0" borderId="28" xfId="3" applyFont="1" applyBorder="1" applyProtection="1"/>
    <xf numFmtId="164" fontId="17" fillId="0" borderId="31" xfId="3" applyFont="1" applyBorder="1" applyProtection="1"/>
    <xf numFmtId="4" fontId="18" fillId="0" borderId="0" xfId="0" applyNumberFormat="1" applyFont="1"/>
    <xf numFmtId="4" fontId="18" fillId="0" borderId="26" xfId="0" applyNumberFormat="1" applyFont="1" applyBorder="1"/>
    <xf numFmtId="164" fontId="17" fillId="0" borderId="10" xfId="3" applyFont="1" applyBorder="1" applyProtection="1"/>
    <xf numFmtId="164" fontId="2" fillId="6" borderId="13" xfId="0" applyNumberFormat="1" applyFont="1" applyFill="1" applyBorder="1"/>
    <xf numFmtId="164" fontId="20" fillId="6" borderId="32" xfId="3" applyFont="1" applyFill="1" applyBorder="1" applyProtection="1"/>
    <xf numFmtId="10" fontId="21" fillId="6" borderId="32" xfId="0" applyNumberFormat="1" applyFont="1" applyFill="1" applyBorder="1"/>
    <xf numFmtId="2" fontId="21" fillId="0" borderId="32" xfId="0" applyNumberFormat="1" applyFont="1" applyBorder="1"/>
    <xf numFmtId="10" fontId="20" fillId="6" borderId="32" xfId="2" applyNumberFormat="1" applyFont="1" applyFill="1" applyBorder="1" applyProtection="1"/>
    <xf numFmtId="164" fontId="18" fillId="0" borderId="32" xfId="1" applyFont="1" applyBorder="1" applyProtection="1"/>
    <xf numFmtId="166" fontId="17" fillId="0" borderId="9" xfId="3" applyNumberFormat="1" applyFont="1" applyBorder="1" applyProtection="1"/>
    <xf numFmtId="10" fontId="21" fillId="6" borderId="9" xfId="0" applyNumberFormat="1" applyFont="1" applyFill="1" applyBorder="1"/>
    <xf numFmtId="2" fontId="21" fillId="0" borderId="9" xfId="0" applyNumberFormat="1" applyFont="1" applyBorder="1"/>
    <xf numFmtId="10" fontId="20" fillId="6" borderId="9" xfId="2" applyNumberFormat="1" applyFont="1" applyFill="1" applyBorder="1" applyProtection="1"/>
    <xf numFmtId="164" fontId="18" fillId="0" borderId="9" xfId="1" applyFont="1" applyBorder="1" applyProtection="1"/>
    <xf numFmtId="165" fontId="21" fillId="6" borderId="12" xfId="0" applyNumberFormat="1" applyFont="1" applyFill="1" applyBorder="1"/>
    <xf numFmtId="2" fontId="18" fillId="0" borderId="29" xfId="0" applyNumberFormat="1" applyFont="1" applyBorder="1"/>
    <xf numFmtId="0" fontId="14" fillId="0" borderId="29" xfId="0" applyFont="1" applyBorder="1"/>
    <xf numFmtId="0" fontId="10" fillId="7" borderId="0" xfId="0" applyFont="1" applyFill="1" applyAlignment="1">
      <alignment horizontal="right"/>
    </xf>
    <xf numFmtId="0" fontId="18" fillId="5" borderId="0" xfId="0" applyFont="1" applyFill="1"/>
    <xf numFmtId="4" fontId="18" fillId="5" borderId="0" xfId="0" applyNumberFormat="1" applyFont="1" applyFill="1"/>
    <xf numFmtId="164" fontId="18" fillId="5" borderId="0" xfId="0" applyNumberFormat="1" applyFont="1" applyFill="1"/>
    <xf numFmtId="164" fontId="2" fillId="5" borderId="0" xfId="0" applyNumberFormat="1" applyFont="1" applyFill="1"/>
    <xf numFmtId="0" fontId="4" fillId="7" borderId="0" xfId="0" applyFont="1" applyFill="1" applyAlignment="1">
      <alignment horizontal="right"/>
    </xf>
    <xf numFmtId="164" fontId="19" fillId="7" borderId="0" xfId="1" applyFont="1" applyFill="1" applyBorder="1" applyProtection="1"/>
    <xf numFmtId="0" fontId="18" fillId="7" borderId="0" xfId="0" applyFont="1" applyFill="1"/>
    <xf numFmtId="164" fontId="4" fillId="7" borderId="0" xfId="1" applyFont="1" applyFill="1" applyBorder="1" applyProtection="1"/>
    <xf numFmtId="0" fontId="4" fillId="4" borderId="4" xfId="0" applyFont="1" applyFill="1" applyBorder="1" applyAlignment="1">
      <alignment horizontal="right"/>
    </xf>
    <xf numFmtId="3" fontId="22" fillId="0" borderId="7" xfId="0" applyNumberFormat="1" applyFont="1" applyBorder="1"/>
    <xf numFmtId="3" fontId="22" fillId="0" borderId="10" xfId="0" applyNumberFormat="1" applyFont="1" applyBorder="1"/>
    <xf numFmtId="0" fontId="13" fillId="0" borderId="9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164" fontId="18" fillId="0" borderId="10" xfId="3" applyFont="1" applyBorder="1" applyAlignment="1" applyProtection="1">
      <alignment horizontal="center"/>
    </xf>
    <xf numFmtId="2" fontId="17" fillId="0" borderId="9" xfId="0" applyNumberFormat="1" applyFont="1" applyBorder="1" applyAlignment="1">
      <alignment horizontal="center"/>
    </xf>
    <xf numFmtId="164" fontId="17" fillId="2" borderId="9" xfId="0" applyNumberFormat="1" applyFont="1" applyFill="1" applyBorder="1" applyAlignment="1">
      <alignment horizontal="center"/>
    </xf>
    <xf numFmtId="164" fontId="17" fillId="2" borderId="10" xfId="0" applyNumberFormat="1" applyFont="1" applyFill="1" applyBorder="1" applyAlignment="1">
      <alignment horizontal="center"/>
    </xf>
    <xf numFmtId="2" fontId="18" fillId="2" borderId="9" xfId="0" applyNumberFormat="1" applyFont="1" applyFill="1" applyBorder="1" applyAlignment="1">
      <alignment horizontal="center"/>
    </xf>
    <xf numFmtId="2" fontId="18" fillId="2" borderId="10" xfId="0" applyNumberFormat="1" applyFont="1" applyFill="1" applyBorder="1" applyAlignment="1">
      <alignment horizontal="center"/>
    </xf>
    <xf numFmtId="2" fontId="18" fillId="4" borderId="1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164" fontId="18" fillId="2" borderId="9" xfId="0" applyNumberFormat="1" applyFont="1" applyFill="1" applyBorder="1" applyAlignment="1">
      <alignment horizontal="center"/>
    </xf>
    <xf numFmtId="164" fontId="18" fillId="2" borderId="10" xfId="0" applyNumberFormat="1" applyFont="1" applyFill="1" applyBorder="1" applyAlignment="1">
      <alignment horizontal="center"/>
    </xf>
    <xf numFmtId="10" fontId="17" fillId="2" borderId="9" xfId="2" applyNumberFormat="1" applyFont="1" applyFill="1" applyBorder="1" applyAlignment="1" applyProtection="1">
      <alignment horizontal="center"/>
    </xf>
    <xf numFmtId="10" fontId="17" fillId="2" borderId="10" xfId="2" applyNumberFormat="1" applyFont="1" applyFill="1" applyBorder="1" applyAlignment="1" applyProtection="1">
      <alignment horizontal="center"/>
    </xf>
    <xf numFmtId="2" fontId="17" fillId="2" borderId="9" xfId="0" applyNumberFormat="1" applyFont="1" applyFill="1" applyBorder="1" applyAlignment="1">
      <alignment horizontal="center"/>
    </xf>
    <xf numFmtId="2" fontId="17" fillId="2" borderId="10" xfId="0" applyNumberFormat="1" applyFont="1" applyFill="1" applyBorder="1" applyAlignment="1">
      <alignment horizontal="center"/>
    </xf>
    <xf numFmtId="2" fontId="17" fillId="4" borderId="10" xfId="0" applyNumberFormat="1" applyFont="1" applyFill="1" applyBorder="1" applyAlignment="1">
      <alignment horizontal="center"/>
    </xf>
    <xf numFmtId="10" fontId="18" fillId="2" borderId="9" xfId="2" applyNumberFormat="1" applyFont="1" applyFill="1" applyBorder="1" applyAlignment="1" applyProtection="1">
      <alignment horizontal="center"/>
    </xf>
    <xf numFmtId="10" fontId="18" fillId="2" borderId="10" xfId="2" applyNumberFormat="1" applyFont="1" applyFill="1" applyBorder="1" applyAlignment="1" applyProtection="1">
      <alignment horizontal="center"/>
    </xf>
    <xf numFmtId="1" fontId="9" fillId="2" borderId="9" xfId="0" applyNumberFormat="1" applyFont="1" applyFill="1" applyBorder="1" applyAlignment="1">
      <alignment horizontal="center"/>
    </xf>
    <xf numFmtId="1" fontId="18" fillId="2" borderId="9" xfId="0" applyNumberFormat="1" applyFont="1" applyFill="1" applyBorder="1" applyAlignment="1">
      <alignment horizontal="center"/>
    </xf>
    <xf numFmtId="1" fontId="21" fillId="2" borderId="9" xfId="0" applyNumberFormat="1" applyFont="1" applyFill="1" applyBorder="1" applyAlignment="1">
      <alignment horizontal="center"/>
    </xf>
    <xf numFmtId="1" fontId="18" fillId="2" borderId="10" xfId="0" applyNumberFormat="1" applyFont="1" applyFill="1" applyBorder="1" applyAlignment="1">
      <alignment horizontal="center"/>
    </xf>
    <xf numFmtId="2" fontId="17" fillId="2" borderId="9" xfId="2" applyNumberFormat="1" applyFont="1" applyFill="1" applyBorder="1" applyAlignment="1" applyProtection="1">
      <alignment horizontal="center"/>
    </xf>
    <xf numFmtId="2" fontId="17" fillId="2" borderId="10" xfId="2" applyNumberFormat="1" applyFont="1" applyFill="1" applyBorder="1" applyAlignment="1" applyProtection="1">
      <alignment horizontal="center"/>
    </xf>
    <xf numFmtId="10" fontId="18" fillId="2" borderId="12" xfId="2" applyNumberFormat="1" applyFont="1" applyFill="1" applyBorder="1" applyAlignment="1" applyProtection="1">
      <alignment horizontal="center"/>
    </xf>
    <xf numFmtId="10" fontId="18" fillId="2" borderId="13" xfId="2" applyNumberFormat="1" applyFont="1" applyFill="1" applyBorder="1" applyAlignment="1" applyProtection="1">
      <alignment horizontal="center"/>
    </xf>
    <xf numFmtId="10" fontId="19" fillId="6" borderId="10" xfId="0" applyNumberFormat="1" applyFont="1" applyFill="1" applyBorder="1"/>
    <xf numFmtId="166" fontId="17" fillId="0" borderId="10" xfId="3" applyNumberFormat="1" applyFont="1" applyBorder="1" applyProtection="1"/>
    <xf numFmtId="2" fontId="18" fillId="0" borderId="0" xfId="0" applyNumberFormat="1" applyFont="1" applyBorder="1"/>
    <xf numFmtId="0" fontId="18" fillId="0" borderId="0" xfId="0" applyFont="1" applyBorder="1"/>
    <xf numFmtId="0" fontId="15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6" fontId="23" fillId="5" borderId="10" xfId="1" applyNumberFormat="1" applyFont="1" applyFill="1" applyBorder="1" applyAlignment="1" applyProtection="1">
      <alignment horizontal="center"/>
    </xf>
    <xf numFmtId="2" fontId="23" fillId="5" borderId="10" xfId="0" applyNumberFormat="1" applyFont="1" applyFill="1" applyBorder="1" applyAlignment="1">
      <alignment horizontal="center"/>
    </xf>
    <xf numFmtId="166" fontId="2" fillId="2" borderId="13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84"/>
  <sheetViews>
    <sheetView showGridLines="0" tabSelected="1" zoomScale="60" zoomScaleNormal="60" workbookViewId="0">
      <pane xSplit="1" ySplit="3" topLeftCell="E4" activePane="bottomRight" state="frozen"/>
      <selection pane="topRight" activeCell="B1" sqref="B1"/>
      <selection pane="bottomLeft" activeCell="A8" sqref="A8"/>
      <selection pane="bottomRight" activeCell="T68" sqref="T68"/>
    </sheetView>
  </sheetViews>
  <sheetFormatPr defaultColWidth="9" defaultRowHeight="14.25"/>
  <cols>
    <col min="2" max="2" width="54.73046875" customWidth="1"/>
    <col min="3" max="3" width="15" customWidth="1"/>
    <col min="4" max="4" width="16" customWidth="1"/>
    <col min="5" max="7" width="15" customWidth="1"/>
    <col min="8" max="8" width="15.3984375" bestFit="1" customWidth="1"/>
    <col min="9" max="9" width="15.3984375" customWidth="1"/>
    <col min="10" max="10" width="3.1328125" customWidth="1"/>
    <col min="11" max="11" width="74" customWidth="1"/>
    <col min="12" max="12" width="16.1328125" customWidth="1"/>
    <col min="13" max="13" width="12.59765625" customWidth="1"/>
    <col min="14" max="16" width="12.86328125" customWidth="1"/>
    <col min="17" max="17" width="13.1328125" customWidth="1"/>
    <col min="18" max="18" width="10.3984375" bestFit="1" customWidth="1"/>
    <col min="19" max="19" width="10.59765625" customWidth="1"/>
    <col min="22" max="22" width="1.86328125" customWidth="1"/>
  </cols>
  <sheetData>
    <row r="2" spans="2:18" ht="16.149999999999999" thickBot="1">
      <c r="B2" s="225" t="s">
        <v>0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2:18" ht="16.149999999999999" thickBot="1">
      <c r="B3" s="228" t="s">
        <v>1</v>
      </c>
      <c r="C3" s="229"/>
      <c r="D3" s="229"/>
      <c r="E3" s="229"/>
      <c r="F3" s="229"/>
      <c r="G3" s="229"/>
      <c r="H3" s="229"/>
      <c r="I3" s="230"/>
      <c r="J3" s="1"/>
      <c r="K3" s="226" t="s">
        <v>2</v>
      </c>
      <c r="L3" s="226"/>
      <c r="M3" s="226"/>
      <c r="N3" s="226"/>
      <c r="O3" s="226"/>
      <c r="P3" s="226"/>
      <c r="Q3" s="226"/>
    </row>
    <row r="4" spans="2:18" ht="16.149999999999999" thickBot="1">
      <c r="B4" s="2" t="s">
        <v>3</v>
      </c>
      <c r="C4" s="80" t="s">
        <v>4</v>
      </c>
      <c r="D4" s="81" t="s">
        <v>5</v>
      </c>
      <c r="E4" s="81" t="s">
        <v>6</v>
      </c>
      <c r="F4" s="81" t="s">
        <v>7</v>
      </c>
      <c r="G4" s="81" t="s">
        <v>8</v>
      </c>
      <c r="H4" s="80" t="s">
        <v>126</v>
      </c>
      <c r="I4" s="82" t="s">
        <v>127</v>
      </c>
      <c r="J4" s="1"/>
      <c r="K4" s="5" t="s">
        <v>3</v>
      </c>
      <c r="L4" s="6" t="s">
        <v>4</v>
      </c>
      <c r="M4" s="6" t="s">
        <v>5</v>
      </c>
      <c r="N4" s="6" t="s">
        <v>6</v>
      </c>
      <c r="O4" s="6" t="s">
        <v>7</v>
      </c>
      <c r="P4" s="86" t="s">
        <v>8</v>
      </c>
      <c r="Q4" s="87" t="s">
        <v>126</v>
      </c>
    </row>
    <row r="5" spans="2:18" ht="15.75">
      <c r="B5" s="7" t="s">
        <v>9</v>
      </c>
      <c r="C5" s="8">
        <v>67931.100000000006</v>
      </c>
      <c r="D5" s="9">
        <v>68394.600000000006</v>
      </c>
      <c r="E5" s="9">
        <v>71497.8</v>
      </c>
      <c r="F5" s="9">
        <v>86971.5</v>
      </c>
      <c r="G5" s="141">
        <v>103920</v>
      </c>
      <c r="H5" s="141">
        <v>117084.4</v>
      </c>
      <c r="I5" s="142">
        <v>32630.5</v>
      </c>
      <c r="J5" s="1"/>
      <c r="K5" s="88" t="s">
        <v>10</v>
      </c>
      <c r="L5" s="10">
        <v>170.8</v>
      </c>
      <c r="M5" s="89">
        <v>170.8</v>
      </c>
      <c r="N5" s="89">
        <v>170.8</v>
      </c>
      <c r="O5" s="89">
        <v>170.8</v>
      </c>
      <c r="P5" s="160">
        <v>170.8</v>
      </c>
      <c r="Q5" s="161">
        <v>183</v>
      </c>
    </row>
    <row r="6" spans="2:18" ht="15.75">
      <c r="B6" s="11" t="s">
        <v>11</v>
      </c>
      <c r="C6" s="12"/>
      <c r="D6" s="12">
        <f>D5/C5-1</f>
        <v>6.8230898660555095E-3</v>
      </c>
      <c r="E6" s="12">
        <f>E5/D5-1</f>
        <v>4.5372003052872589E-2</v>
      </c>
      <c r="F6" s="12">
        <f>F5/E5-1</f>
        <v>0.21642204375519247</v>
      </c>
      <c r="G6" s="127">
        <f>G5/F5-1</f>
        <v>0.19487418292199177</v>
      </c>
      <c r="H6" s="127">
        <f>H5/G5-1</f>
        <v>0.12667821401077739</v>
      </c>
      <c r="I6" s="128"/>
      <c r="J6" s="1"/>
      <c r="K6" s="90" t="s">
        <v>12</v>
      </c>
      <c r="L6" s="91">
        <v>33179.599999999999</v>
      </c>
      <c r="M6" s="91">
        <v>36382.300000000003</v>
      </c>
      <c r="N6" s="91">
        <v>41929.1</v>
      </c>
      <c r="O6" s="91">
        <v>45354</v>
      </c>
      <c r="P6" s="162">
        <v>59899.6</v>
      </c>
      <c r="Q6" s="144">
        <v>67804.3</v>
      </c>
    </row>
    <row r="7" spans="2:18" ht="15.75">
      <c r="B7" s="11" t="s">
        <v>13</v>
      </c>
      <c r="C7" s="13"/>
      <c r="D7" s="14"/>
      <c r="E7" s="14"/>
      <c r="F7" s="12">
        <f>(F5/C5)^(1/3)-1</f>
        <v>8.5849005105644194E-2</v>
      </c>
      <c r="G7" s="127">
        <f>(G5/D5)^(1/3)-1</f>
        <v>0.14963269925470546</v>
      </c>
      <c r="H7" s="127">
        <f>(H5/E5)^(1/3)-1</f>
        <v>0.17869683853897156</v>
      </c>
      <c r="I7" s="128"/>
      <c r="J7" s="1"/>
      <c r="K7" s="90" t="s">
        <v>14</v>
      </c>
      <c r="L7" s="92">
        <v>0</v>
      </c>
      <c r="M7" s="92">
        <v>0</v>
      </c>
      <c r="N7" s="92">
        <v>0</v>
      </c>
      <c r="O7" s="92"/>
      <c r="P7" s="93"/>
      <c r="Q7" s="94"/>
    </row>
    <row r="8" spans="2:18" ht="15.75">
      <c r="B8" s="15" t="s">
        <v>15</v>
      </c>
      <c r="C8" s="16">
        <f t="shared" ref="C8:I8" si="0">SUM(C9:C13)</f>
        <v>58416.2</v>
      </c>
      <c r="D8" s="16">
        <f t="shared" si="0"/>
        <v>57406.299999999988</v>
      </c>
      <c r="E8" s="16">
        <f t="shared" si="0"/>
        <v>60341</v>
      </c>
      <c r="F8" s="16">
        <f t="shared" si="0"/>
        <v>76731.900000000009</v>
      </c>
      <c r="G8" s="129">
        <f t="shared" si="0"/>
        <v>89600.7</v>
      </c>
      <c r="H8" s="129">
        <f t="shared" si="0"/>
        <v>100499.29999999999</v>
      </c>
      <c r="I8" s="130">
        <f t="shared" si="0"/>
        <v>28258.899999999998</v>
      </c>
      <c r="J8" s="1"/>
      <c r="K8" s="95" t="s">
        <v>16</v>
      </c>
      <c r="L8" s="96">
        <f>L5+L6+L7</f>
        <v>33350.400000000001</v>
      </c>
      <c r="M8" s="96">
        <v>36553.1</v>
      </c>
      <c r="N8" s="96">
        <f>N5+N6+N7</f>
        <v>42099.9</v>
      </c>
      <c r="O8" s="96">
        <f>O5+O6+O7</f>
        <v>45524.800000000003</v>
      </c>
      <c r="P8" s="157">
        <f>P5+P6+P7</f>
        <v>60070.400000000001</v>
      </c>
      <c r="Q8" s="158">
        <f>Q5+Q6+Q7</f>
        <v>67987.3</v>
      </c>
    </row>
    <row r="9" spans="2:18" ht="15.75">
      <c r="B9" s="17" t="s">
        <v>17</v>
      </c>
      <c r="C9" s="18">
        <v>46030.6</v>
      </c>
      <c r="D9" s="19">
        <v>42190.7</v>
      </c>
      <c r="E9" s="19">
        <v>43825.4</v>
      </c>
      <c r="F9" s="19">
        <v>59693.9</v>
      </c>
      <c r="G9" s="143">
        <v>64585.4</v>
      </c>
      <c r="H9" s="143">
        <v>68828.3</v>
      </c>
      <c r="I9" s="144">
        <v>16927.7</v>
      </c>
      <c r="J9" s="1"/>
      <c r="K9" s="90" t="s">
        <v>18</v>
      </c>
      <c r="L9" s="91">
        <f t="shared" ref="L9:O9" si="1">L54</f>
        <v>468</v>
      </c>
      <c r="M9" s="91">
        <f t="shared" si="1"/>
        <v>343.4</v>
      </c>
      <c r="N9" s="91">
        <f t="shared" si="1"/>
        <v>233.9</v>
      </c>
      <c r="O9" s="91">
        <f t="shared" si="1"/>
        <v>165.2</v>
      </c>
      <c r="P9" s="99">
        <v>800.1</v>
      </c>
      <c r="Q9" s="100">
        <v>259.89999999999998</v>
      </c>
    </row>
    <row r="10" spans="2:18" ht="15.75">
      <c r="B10" s="17" t="s">
        <v>19</v>
      </c>
      <c r="C10" s="18">
        <v>1701.8</v>
      </c>
      <c r="D10" s="19">
        <v>1759.2</v>
      </c>
      <c r="E10" s="19">
        <v>4300.7</v>
      </c>
      <c r="F10" s="19">
        <v>4739.1000000000004</v>
      </c>
      <c r="G10" s="115">
        <v>4874.1000000000004</v>
      </c>
      <c r="H10" s="143">
        <v>11683.4</v>
      </c>
      <c r="I10" s="144">
        <v>4891.8</v>
      </c>
      <c r="J10" s="1"/>
      <c r="K10" s="101" t="s">
        <v>20</v>
      </c>
      <c r="L10" s="20">
        <f t="shared" ref="L10:O10" si="2">L42</f>
        <v>0</v>
      </c>
      <c r="M10" s="20">
        <f t="shared" si="2"/>
        <v>0</v>
      </c>
      <c r="N10" s="20">
        <f t="shared" si="2"/>
        <v>109.5</v>
      </c>
      <c r="O10" s="20">
        <f t="shared" si="2"/>
        <v>68.7</v>
      </c>
      <c r="P10" s="99">
        <v>310.5</v>
      </c>
      <c r="Q10" s="100">
        <v>273.39999999999998</v>
      </c>
    </row>
    <row r="11" spans="2:18" ht="15.75">
      <c r="B11" s="17" t="s">
        <v>21</v>
      </c>
      <c r="C11" s="18">
        <v>-1291.4000000000001</v>
      </c>
      <c r="D11" s="19">
        <v>518.6</v>
      </c>
      <c r="E11" s="19">
        <v>-682.3</v>
      </c>
      <c r="F11" s="19">
        <v>-3219.5</v>
      </c>
      <c r="G11" s="145">
        <v>522.9</v>
      </c>
      <c r="H11" s="145">
        <v>-1915.6</v>
      </c>
      <c r="I11" s="146">
        <v>635.1</v>
      </c>
      <c r="J11" s="1"/>
      <c r="K11" s="95" t="s">
        <v>22</v>
      </c>
      <c r="L11" s="96">
        <f t="shared" ref="L11:Q11" si="3">(L9+L10)</f>
        <v>468</v>
      </c>
      <c r="M11" s="96">
        <f t="shared" si="3"/>
        <v>343.4</v>
      </c>
      <c r="N11" s="96">
        <f t="shared" si="3"/>
        <v>343.4</v>
      </c>
      <c r="O11" s="96">
        <f t="shared" si="3"/>
        <v>233.89999999999998</v>
      </c>
      <c r="P11" s="97">
        <f t="shared" si="3"/>
        <v>1110.5999999999999</v>
      </c>
      <c r="Q11" s="98">
        <f t="shared" si="3"/>
        <v>533.29999999999995</v>
      </c>
    </row>
    <row r="12" spans="2:18" ht="15.75">
      <c r="B12" s="17" t="s">
        <v>23</v>
      </c>
      <c r="C12" s="18">
        <v>3453.9</v>
      </c>
      <c r="D12" s="19">
        <v>3858.1</v>
      </c>
      <c r="E12" s="19">
        <v>4266.3999999999996</v>
      </c>
      <c r="F12" s="19">
        <v>4993.1000000000004</v>
      </c>
      <c r="G12" s="145">
        <v>6518.7</v>
      </c>
      <c r="H12" s="145">
        <v>7347.3</v>
      </c>
      <c r="I12" s="146">
        <v>2015.8</v>
      </c>
      <c r="J12" s="1"/>
      <c r="K12" s="95" t="s">
        <v>24</v>
      </c>
      <c r="L12" s="96">
        <f>L8+L52</f>
        <v>35931.9</v>
      </c>
      <c r="M12" s="96">
        <v>39202</v>
      </c>
      <c r="N12" s="96">
        <f>N8+N52</f>
        <v>44673.8</v>
      </c>
      <c r="O12" s="96">
        <f>O8+O52</f>
        <v>48496.3</v>
      </c>
      <c r="P12" s="97">
        <f>P8+P52</f>
        <v>64838.400000000001</v>
      </c>
      <c r="Q12" s="98">
        <f>Q8+Q52</f>
        <v>72527</v>
      </c>
    </row>
    <row r="13" spans="2:18" ht="15.75">
      <c r="B13" s="17" t="s">
        <v>25</v>
      </c>
      <c r="C13" s="18">
        <v>8521.2999999999993</v>
      </c>
      <c r="D13" s="19">
        <v>9079.7000000000007</v>
      </c>
      <c r="E13" s="19">
        <v>8630.7999999999993</v>
      </c>
      <c r="F13" s="19">
        <v>10525.3</v>
      </c>
      <c r="G13" s="143">
        <v>13099.6</v>
      </c>
      <c r="H13" s="143">
        <v>14555.9</v>
      </c>
      <c r="I13" s="144">
        <v>3788.5</v>
      </c>
      <c r="J13" s="1"/>
      <c r="K13" s="95" t="s">
        <v>24</v>
      </c>
      <c r="L13" s="96">
        <f>L59-L40</f>
        <v>35931.899999999994</v>
      </c>
      <c r="M13" s="96">
        <v>17016.5</v>
      </c>
      <c r="N13" s="96">
        <f>N59-N40</f>
        <v>44673.799999999996</v>
      </c>
      <c r="O13" s="96">
        <f>O59-O40</f>
        <v>48496.30000000001</v>
      </c>
      <c r="P13" s="97">
        <f>P59-P40</f>
        <v>64838.399999999987</v>
      </c>
      <c r="Q13" s="98">
        <f>Q59-Q40</f>
        <v>72527</v>
      </c>
    </row>
    <row r="14" spans="2:18" ht="15.75">
      <c r="B14" s="15" t="s">
        <v>26</v>
      </c>
      <c r="C14" s="21">
        <f t="shared" ref="C14:I14" si="4">(C5-C8)</f>
        <v>9514.9000000000087</v>
      </c>
      <c r="D14" s="16">
        <f t="shared" si="4"/>
        <v>10988.300000000017</v>
      </c>
      <c r="E14" s="16">
        <f t="shared" si="4"/>
        <v>11156.800000000003</v>
      </c>
      <c r="F14" s="16">
        <f t="shared" si="4"/>
        <v>10239.599999999991</v>
      </c>
      <c r="G14" s="129">
        <f t="shared" si="4"/>
        <v>14319.300000000003</v>
      </c>
      <c r="H14" s="129">
        <f t="shared" si="4"/>
        <v>16585.100000000006</v>
      </c>
      <c r="I14" s="166">
        <f t="shared" si="4"/>
        <v>4371.6000000000022</v>
      </c>
      <c r="J14" s="1"/>
      <c r="K14" s="90"/>
      <c r="L14" s="102"/>
      <c r="M14" s="102"/>
      <c r="N14" s="102"/>
      <c r="O14" s="102"/>
      <c r="P14" s="103"/>
      <c r="Q14" s="100"/>
    </row>
    <row r="15" spans="2:18" ht="15.75">
      <c r="B15" s="11" t="s">
        <v>11</v>
      </c>
      <c r="C15" s="12"/>
      <c r="D15" s="12">
        <f>D14/C14-1</f>
        <v>0.15485186391869665</v>
      </c>
      <c r="E15" s="12">
        <f>E14/D14-1</f>
        <v>1.5334492141640288E-2</v>
      </c>
      <c r="F15" s="12">
        <f>F14/E14-1</f>
        <v>-8.2209952674603071E-2</v>
      </c>
      <c r="G15" s="127">
        <f>G14/F14-1</f>
        <v>0.39842376655338252</v>
      </c>
      <c r="H15" s="127">
        <f>H14/G14-1</f>
        <v>0.15823399188507836</v>
      </c>
      <c r="I15" s="128"/>
      <c r="J15" s="1"/>
      <c r="K15" s="95" t="s">
        <v>27</v>
      </c>
      <c r="L15" s="96">
        <f>SUM(L16:L25)</f>
        <v>22915.899999999994</v>
      </c>
      <c r="M15" s="96">
        <v>27771.5</v>
      </c>
      <c r="N15" s="96">
        <f>SUM(N16:N25)</f>
        <v>29756.499999999996</v>
      </c>
      <c r="O15" s="96">
        <f>SUM(O16:O25)</f>
        <v>35512.700000000012</v>
      </c>
      <c r="P15" s="159">
        <f>SUM(P16:P27)</f>
        <v>45107.4</v>
      </c>
      <c r="Q15" s="158">
        <f>SUM(Q16:Q27)</f>
        <v>51083.399999999994</v>
      </c>
    </row>
    <row r="16" spans="2:18" ht="15.75">
      <c r="B16" s="11" t="s">
        <v>13</v>
      </c>
      <c r="C16" s="13"/>
      <c r="D16" s="14"/>
      <c r="E16" s="14"/>
      <c r="F16" s="14">
        <f>(F14/C14)^(1/3)-1</f>
        <v>2.4769649486148682E-2</v>
      </c>
      <c r="G16" s="131">
        <f>(G14/D14)^(1/3)-1</f>
        <v>9.2271059050889281E-2</v>
      </c>
      <c r="H16" s="131">
        <f>(H14/E14)^(1/3)-1</f>
        <v>0.1412815999989212</v>
      </c>
      <c r="I16" s="132"/>
      <c r="J16" s="1"/>
      <c r="K16" s="90" t="s">
        <v>28</v>
      </c>
      <c r="L16" s="91">
        <v>18090.5</v>
      </c>
      <c r="M16" s="91">
        <v>16476.099999999999</v>
      </c>
      <c r="N16" s="91">
        <v>21160.3</v>
      </c>
      <c r="O16" s="91">
        <v>21275.9</v>
      </c>
      <c r="P16" s="163">
        <v>28554.5</v>
      </c>
      <c r="Q16" s="144">
        <v>29094.5</v>
      </c>
      <c r="R16" s="23"/>
    </row>
    <row r="17" spans="2:23" ht="15.75">
      <c r="B17" s="15" t="s">
        <v>29</v>
      </c>
      <c r="C17" s="24">
        <f t="shared" ref="C17:I17" si="5">(C14/C5)</f>
        <v>0.14006692074764002</v>
      </c>
      <c r="D17" s="24">
        <f t="shared" si="5"/>
        <v>0.16066034453012396</v>
      </c>
      <c r="E17" s="24">
        <f t="shared" si="5"/>
        <v>0.15604396219184369</v>
      </c>
      <c r="F17" s="24">
        <f t="shared" si="5"/>
        <v>0.11773512012555827</v>
      </c>
      <c r="G17" s="133">
        <f t="shared" si="5"/>
        <v>0.13779157043879911</v>
      </c>
      <c r="H17" s="133">
        <f t="shared" si="5"/>
        <v>0.14165080915988815</v>
      </c>
      <c r="I17" s="218">
        <f t="shared" si="5"/>
        <v>0.13397281684313761</v>
      </c>
      <c r="J17" s="1"/>
      <c r="K17" s="90" t="s">
        <v>30</v>
      </c>
      <c r="L17" s="91"/>
      <c r="M17" s="91">
        <v>1784.8</v>
      </c>
      <c r="N17" s="91">
        <v>2436.5</v>
      </c>
      <c r="O17" s="91">
        <v>2851.8</v>
      </c>
      <c r="P17" s="103">
        <v>3965.9</v>
      </c>
      <c r="Q17" s="100">
        <v>4081.1</v>
      </c>
      <c r="S17" s="25"/>
    </row>
    <row r="18" spans="2:23" ht="15.75">
      <c r="B18" s="17" t="s">
        <v>31</v>
      </c>
      <c r="C18" s="18">
        <v>467.7</v>
      </c>
      <c r="D18" s="26">
        <v>550.5</v>
      </c>
      <c r="E18" s="26">
        <v>873.6</v>
      </c>
      <c r="F18" s="26">
        <v>779.8</v>
      </c>
      <c r="G18" s="145">
        <v>923.7</v>
      </c>
      <c r="H18" s="145">
        <v>1104.0999999999999</v>
      </c>
      <c r="I18" s="146">
        <v>295.89999999999998</v>
      </c>
      <c r="J18" s="1"/>
      <c r="K18" s="27" t="s">
        <v>32</v>
      </c>
      <c r="L18" s="91">
        <v>2338.8000000000002</v>
      </c>
      <c r="M18" s="91">
        <v>7325.8</v>
      </c>
      <c r="N18" s="91">
        <v>3975.6</v>
      </c>
      <c r="O18" s="91">
        <v>8293.2000000000007</v>
      </c>
      <c r="P18" s="103">
        <v>2486.9</v>
      </c>
      <c r="Q18" s="100">
        <v>6255.2</v>
      </c>
    </row>
    <row r="19" spans="2:23" ht="15.75">
      <c r="B19" s="17" t="s">
        <v>33</v>
      </c>
      <c r="C19" s="18">
        <v>2612</v>
      </c>
      <c r="D19" s="26">
        <v>3007.4</v>
      </c>
      <c r="E19" s="26">
        <v>3191.6</v>
      </c>
      <c r="F19" s="26">
        <v>3957.2</v>
      </c>
      <c r="G19" s="145">
        <v>4504</v>
      </c>
      <c r="H19" s="113">
        <v>4843.3</v>
      </c>
      <c r="I19" s="100">
        <v>1226</v>
      </c>
      <c r="J19" s="1"/>
      <c r="K19" s="90" t="s">
        <v>34</v>
      </c>
      <c r="L19" s="91">
        <v>37.1</v>
      </c>
      <c r="M19" s="91">
        <v>31.3</v>
      </c>
      <c r="N19" s="91">
        <v>950.8</v>
      </c>
      <c r="O19" s="91">
        <v>795.3</v>
      </c>
      <c r="P19" s="103">
        <v>669.1</v>
      </c>
      <c r="Q19" s="100">
        <v>538.29999999999995</v>
      </c>
      <c r="S19" s="28"/>
      <c r="T19" s="28"/>
      <c r="U19" s="28"/>
      <c r="V19" s="28"/>
      <c r="W19" s="28"/>
    </row>
    <row r="20" spans="2:23" ht="15.75">
      <c r="B20" s="17" t="s">
        <v>35</v>
      </c>
      <c r="C20" s="18">
        <v>69.5</v>
      </c>
      <c r="D20" s="26">
        <v>121.9</v>
      </c>
      <c r="E20" s="26">
        <v>105.3</v>
      </c>
      <c r="F20" s="26">
        <v>151</v>
      </c>
      <c r="G20" s="147">
        <v>296</v>
      </c>
      <c r="H20" s="145">
        <v>343.7</v>
      </c>
      <c r="I20" s="146">
        <v>94.4</v>
      </c>
      <c r="J20" s="1"/>
      <c r="K20" s="90" t="s">
        <v>36</v>
      </c>
      <c r="L20" s="91">
        <v>808.6</v>
      </c>
      <c r="M20" s="91">
        <v>944.4</v>
      </c>
      <c r="N20" s="91">
        <v>17.2</v>
      </c>
      <c r="O20" s="91">
        <v>3.3</v>
      </c>
      <c r="P20" s="153">
        <v>7.6</v>
      </c>
      <c r="Q20" s="154">
        <v>154</v>
      </c>
      <c r="S20" s="28"/>
      <c r="T20" s="28"/>
      <c r="U20" s="28"/>
      <c r="V20" s="28"/>
      <c r="W20" s="28"/>
    </row>
    <row r="21" spans="2:23" ht="15.75">
      <c r="B21" s="17" t="s">
        <v>37</v>
      </c>
      <c r="C21" s="22">
        <v>0</v>
      </c>
      <c r="D21" s="29">
        <v>0</v>
      </c>
      <c r="E21" s="29"/>
      <c r="F21" s="29">
        <v>0</v>
      </c>
      <c r="G21" s="104">
        <v>476.5</v>
      </c>
      <c r="H21" s="171">
        <v>0</v>
      </c>
      <c r="I21" s="219">
        <v>0</v>
      </c>
      <c r="J21" s="1"/>
      <c r="K21" s="90" t="s">
        <v>38</v>
      </c>
      <c r="L21" s="104"/>
      <c r="M21" s="104"/>
      <c r="N21" s="104">
        <v>0</v>
      </c>
      <c r="O21" s="104">
        <v>0</v>
      </c>
      <c r="P21" s="152"/>
      <c r="Q21" s="164">
        <v>0</v>
      </c>
    </row>
    <row r="22" spans="2:23" ht="15.75">
      <c r="B22" s="15" t="s">
        <v>39</v>
      </c>
      <c r="C22" s="16">
        <f>(C14-C19-C20+C18-C21)</f>
        <v>7301.1000000000085</v>
      </c>
      <c r="D22" s="16">
        <f>(D14-D19-D20+D18-D21)</f>
        <v>8409.5000000000182</v>
      </c>
      <c r="E22" s="16">
        <f>(E14+E18-E19-E20-E21)</f>
        <v>8733.5000000000036</v>
      </c>
      <c r="F22" s="16">
        <f>(F14-F19-F20+F18-F21)</f>
        <v>6911.1999999999916</v>
      </c>
      <c r="G22" s="135">
        <f>(G14-G19-G20+G18-G21)</f>
        <v>9966.5000000000036</v>
      </c>
      <c r="H22" s="129">
        <f>(H14-H19-H20+H18-H21)</f>
        <v>12502.200000000006</v>
      </c>
      <c r="I22" s="166">
        <f>(I14-I19-I20+I18-I21)</f>
        <v>3347.1000000000022</v>
      </c>
      <c r="J22" s="1"/>
      <c r="K22" s="90" t="s">
        <v>40</v>
      </c>
      <c r="L22" s="91">
        <v>198.8</v>
      </c>
      <c r="M22" s="91">
        <v>133.5</v>
      </c>
      <c r="N22" s="91">
        <v>65.5</v>
      </c>
      <c r="O22" s="91">
        <v>424.8</v>
      </c>
      <c r="P22" s="103">
        <v>2616.6999999999998</v>
      </c>
      <c r="Q22" s="100">
        <v>3608.1</v>
      </c>
    </row>
    <row r="23" spans="2:23" ht="15.75">
      <c r="B23" s="17" t="s">
        <v>41</v>
      </c>
      <c r="C23" s="18">
        <v>2468.8000000000002</v>
      </c>
      <c r="D23" s="19">
        <v>1798.6</v>
      </c>
      <c r="E23" s="19">
        <v>2265.1999999999998</v>
      </c>
      <c r="F23" s="19">
        <v>1785.5</v>
      </c>
      <c r="G23" s="220">
        <v>2658.2</v>
      </c>
      <c r="H23" s="145">
        <v>3158.4</v>
      </c>
      <c r="I23" s="178">
        <v>855.9</v>
      </c>
      <c r="J23" s="1"/>
      <c r="K23" s="30" t="s">
        <v>42</v>
      </c>
      <c r="L23" s="31">
        <v>69.5</v>
      </c>
      <c r="M23" s="31">
        <v>63.6</v>
      </c>
      <c r="N23" s="91">
        <v>43.1</v>
      </c>
      <c r="O23" s="91">
        <v>83.3</v>
      </c>
      <c r="P23" s="153">
        <v>1251.9000000000001</v>
      </c>
      <c r="Q23" s="154">
        <v>132</v>
      </c>
      <c r="V23" t="s">
        <v>43</v>
      </c>
    </row>
    <row r="24" spans="2:23" ht="15.75">
      <c r="B24" s="11" t="s">
        <v>44</v>
      </c>
      <c r="C24" s="32">
        <f>($C$23/$C$22)</f>
        <v>0.33814082809439638</v>
      </c>
      <c r="D24" s="32">
        <f t="shared" ref="D24:I24" si="6">(D23/D22)</f>
        <v>0.21387716273262333</v>
      </c>
      <c r="E24" s="32">
        <f t="shared" si="6"/>
        <v>0.25936909600961799</v>
      </c>
      <c r="F24" s="32">
        <f t="shared" si="6"/>
        <v>0.25834876721842837</v>
      </c>
      <c r="G24" s="134">
        <f t="shared" si="6"/>
        <v>0.26671349019214358</v>
      </c>
      <c r="H24" s="172">
        <f t="shared" si="6"/>
        <v>0.25262753755339051</v>
      </c>
      <c r="I24" s="167">
        <f t="shared" si="6"/>
        <v>0.2557139015864478</v>
      </c>
      <c r="J24" s="1"/>
      <c r="K24" s="27" t="s">
        <v>45</v>
      </c>
      <c r="L24" s="91">
        <v>214.8</v>
      </c>
      <c r="M24" s="91">
        <v>262.10000000000002</v>
      </c>
      <c r="N24" s="91">
        <v>0</v>
      </c>
      <c r="O24" s="91">
        <v>72.400000000000006</v>
      </c>
      <c r="P24" s="153">
        <v>15</v>
      </c>
      <c r="Q24" s="100">
        <v>131.1</v>
      </c>
    </row>
    <row r="25" spans="2:23" ht="15.75">
      <c r="B25" s="33" t="s">
        <v>46</v>
      </c>
      <c r="C25" s="34"/>
      <c r="D25" s="34">
        <v>0</v>
      </c>
      <c r="E25" s="34">
        <v>0</v>
      </c>
      <c r="F25" s="34">
        <v>0</v>
      </c>
      <c r="G25" s="148">
        <v>0</v>
      </c>
      <c r="H25" s="173">
        <v>0</v>
      </c>
      <c r="I25" s="168">
        <v>0</v>
      </c>
      <c r="J25" s="1"/>
      <c r="K25" s="27" t="s">
        <v>47</v>
      </c>
      <c r="L25" s="91">
        <v>1157.8</v>
      </c>
      <c r="M25" s="91">
        <v>749.9</v>
      </c>
      <c r="N25" s="91">
        <v>1107.5</v>
      </c>
      <c r="O25" s="91">
        <v>1712.7</v>
      </c>
      <c r="P25" s="153">
        <v>1251</v>
      </c>
      <c r="Q25" s="100">
        <v>2714.1</v>
      </c>
    </row>
    <row r="26" spans="2:23" ht="15.75">
      <c r="B26" s="15" t="s">
        <v>48</v>
      </c>
      <c r="C26" s="16">
        <f t="shared" ref="C26:I26" si="7">(C22-C23+C25)</f>
        <v>4832.3000000000084</v>
      </c>
      <c r="D26" s="16">
        <f t="shared" si="7"/>
        <v>6610.9000000000178</v>
      </c>
      <c r="E26" s="16">
        <f t="shared" si="7"/>
        <v>6468.3000000000038</v>
      </c>
      <c r="F26" s="16">
        <f t="shared" si="7"/>
        <v>5125.6999999999916</v>
      </c>
      <c r="G26" s="135">
        <f t="shared" si="7"/>
        <v>7308.3000000000038</v>
      </c>
      <c r="H26" s="129">
        <f t="shared" si="7"/>
        <v>9343.8000000000065</v>
      </c>
      <c r="I26" s="166">
        <f t="shared" si="7"/>
        <v>2491.2000000000021</v>
      </c>
      <c r="J26" s="1"/>
      <c r="K26" s="27" t="s">
        <v>49</v>
      </c>
      <c r="L26" s="91"/>
      <c r="M26" s="91"/>
      <c r="N26" s="91"/>
      <c r="O26" s="91"/>
      <c r="P26" s="153">
        <v>8.9</v>
      </c>
      <c r="Q26" s="154">
        <v>17</v>
      </c>
    </row>
    <row r="27" spans="2:23" ht="15.75">
      <c r="B27" s="15" t="s">
        <v>50</v>
      </c>
      <c r="C27" s="35">
        <f t="shared" ref="C27:I27" si="8">C26/C5</f>
        <v>7.1135312102998602E-2</v>
      </c>
      <c r="D27" s="35">
        <f t="shared" si="8"/>
        <v>9.6658215707088241E-2</v>
      </c>
      <c r="E27" s="35">
        <f t="shared" si="8"/>
        <v>9.0468517912439317E-2</v>
      </c>
      <c r="F27" s="35">
        <f t="shared" si="8"/>
        <v>5.8935398377629358E-2</v>
      </c>
      <c r="G27" s="136">
        <f t="shared" si="8"/>
        <v>7.0326212471131674E-2</v>
      </c>
      <c r="H27" s="174">
        <f t="shared" si="8"/>
        <v>7.9803970469165889E-2</v>
      </c>
      <c r="I27" s="169">
        <f t="shared" si="8"/>
        <v>7.6345750141738625E-2</v>
      </c>
      <c r="J27" s="1"/>
      <c r="K27" s="27" t="s">
        <v>51</v>
      </c>
      <c r="L27" s="91"/>
      <c r="M27" s="91"/>
      <c r="N27" s="91"/>
      <c r="O27" s="91"/>
      <c r="P27" s="103">
        <v>4279.8999999999996</v>
      </c>
      <c r="Q27" s="100">
        <v>4358</v>
      </c>
    </row>
    <row r="28" spans="2:23" ht="15.75">
      <c r="B28" s="17" t="s">
        <v>52</v>
      </c>
      <c r="C28" s="22">
        <v>0</v>
      </c>
      <c r="D28" s="36">
        <v>0</v>
      </c>
      <c r="E28" s="36">
        <v>0</v>
      </c>
      <c r="F28" s="36">
        <v>0</v>
      </c>
      <c r="G28" s="149">
        <v>0</v>
      </c>
      <c r="H28" s="175">
        <v>0</v>
      </c>
      <c r="I28" s="170">
        <v>0</v>
      </c>
      <c r="J28" s="1"/>
      <c r="K28" s="95" t="s">
        <v>53</v>
      </c>
      <c r="L28" s="96">
        <f>SUM(L30:L38)</f>
        <v>22041.1</v>
      </c>
      <c r="M28" s="96">
        <f>SUM(M30:M38)</f>
        <v>22232.5</v>
      </c>
      <c r="N28" s="96">
        <f>SUM(N30:N38)</f>
        <v>28212.399999999998</v>
      </c>
      <c r="O28" s="96">
        <f>SUM(O30:O38)</f>
        <v>28248.299999999996</v>
      </c>
      <c r="P28" s="157">
        <f>SUM(P30:P38)</f>
        <v>34513.399999999994</v>
      </c>
      <c r="Q28" s="158">
        <f>SUM(Q29:Q38)</f>
        <v>38694.200000000004</v>
      </c>
    </row>
    <row r="29" spans="2:23" ht="15.75">
      <c r="B29" s="17" t="s">
        <v>54</v>
      </c>
      <c r="C29" s="22">
        <v>-1.2</v>
      </c>
      <c r="D29" s="37">
        <v>-94</v>
      </c>
      <c r="E29" s="37">
        <v>-67.400000000000006</v>
      </c>
      <c r="F29" s="37">
        <v>7.4</v>
      </c>
      <c r="G29" s="220">
        <v>1092.5</v>
      </c>
      <c r="H29" s="145">
        <v>-60.4</v>
      </c>
      <c r="I29" s="177">
        <v>560.70000000000005</v>
      </c>
      <c r="J29" s="1"/>
      <c r="K29" s="105"/>
      <c r="L29" s="106"/>
      <c r="M29" s="106"/>
      <c r="N29" s="106"/>
      <c r="O29" s="106"/>
      <c r="P29" s="107"/>
      <c r="Q29" s="108"/>
    </row>
    <row r="30" spans="2:23" ht="15.75">
      <c r="B30" s="15" t="s">
        <v>55</v>
      </c>
      <c r="C30" s="16">
        <f t="shared" ref="C30:I30" si="9">(C26-C28+C29)</f>
        <v>4831.1000000000085</v>
      </c>
      <c r="D30" s="16">
        <f t="shared" si="9"/>
        <v>6516.9000000000178</v>
      </c>
      <c r="E30" s="16">
        <f t="shared" si="9"/>
        <v>6400.9000000000042</v>
      </c>
      <c r="F30" s="16">
        <f t="shared" si="9"/>
        <v>5133.0999999999913</v>
      </c>
      <c r="G30" s="135">
        <f t="shared" si="9"/>
        <v>8400.8000000000029</v>
      </c>
      <c r="H30" s="129">
        <f t="shared" si="9"/>
        <v>9283.4000000000069</v>
      </c>
      <c r="I30" s="166">
        <f t="shared" si="9"/>
        <v>3051.9000000000024</v>
      </c>
      <c r="J30" s="1"/>
      <c r="K30" s="90" t="s">
        <v>56</v>
      </c>
      <c r="L30" s="91">
        <v>10614.2</v>
      </c>
      <c r="M30" s="91">
        <v>11430</v>
      </c>
      <c r="N30" s="91">
        <v>14389.3</v>
      </c>
      <c r="O30" s="91">
        <v>18045.599999999999</v>
      </c>
      <c r="P30" s="162">
        <v>17339.599999999999</v>
      </c>
      <c r="Q30" s="144">
        <v>19484.400000000001</v>
      </c>
    </row>
    <row r="31" spans="2:23" ht="15.75">
      <c r="B31" s="11" t="s">
        <v>11</v>
      </c>
      <c r="C31" s="12"/>
      <c r="D31" s="12">
        <f>D30/C30-1</f>
        <v>0.34894744468133676</v>
      </c>
      <c r="E31" s="12">
        <f>E30/D30-1</f>
        <v>-1.7799874173305308E-2</v>
      </c>
      <c r="F31" s="12">
        <f>F30/E30-1</f>
        <v>-0.19806589698323862</v>
      </c>
      <c r="G31" s="137">
        <f>G30/F30-1</f>
        <v>0.63659387114999078</v>
      </c>
      <c r="H31" s="127">
        <f>H30/G30-1</f>
        <v>0.10506142272164598</v>
      </c>
      <c r="I31" s="128"/>
      <c r="J31" s="1"/>
      <c r="K31" s="90" t="s">
        <v>38</v>
      </c>
      <c r="L31" s="91">
        <v>0</v>
      </c>
      <c r="M31" s="91">
        <v>0</v>
      </c>
      <c r="N31" s="91"/>
      <c r="O31" s="91"/>
      <c r="P31" s="153"/>
      <c r="Q31" s="154"/>
    </row>
    <row r="32" spans="2:23" ht="15.75">
      <c r="B32" s="11" t="s">
        <v>57</v>
      </c>
      <c r="C32" s="13"/>
      <c r="D32" s="14"/>
      <c r="E32" s="14"/>
      <c r="F32" s="14">
        <f>(F30/C30)^(1/3)-1</f>
        <v>2.0417502836696189E-2</v>
      </c>
      <c r="G32" s="138">
        <f>(G30/D30)^(1/3)-1</f>
        <v>8.8328150876447964E-2</v>
      </c>
      <c r="H32" s="131">
        <f>(H30/E30)^(1/3)-1</f>
        <v>0.13193635100902346</v>
      </c>
      <c r="I32" s="132"/>
      <c r="J32" s="1"/>
      <c r="K32" s="90" t="s">
        <v>40</v>
      </c>
      <c r="L32" s="104">
        <v>3</v>
      </c>
      <c r="M32" s="104">
        <v>1422.5</v>
      </c>
      <c r="N32" s="104">
        <v>2734.2</v>
      </c>
      <c r="O32" s="104">
        <v>347.3</v>
      </c>
      <c r="P32" s="152">
        <v>1653</v>
      </c>
      <c r="Q32" s="100">
        <v>3530.9</v>
      </c>
      <c r="T32" s="23"/>
    </row>
    <row r="33" spans="2:20" ht="15.75">
      <c r="B33" s="7" t="s">
        <v>58</v>
      </c>
      <c r="C33" s="9">
        <v>28.29</v>
      </c>
      <c r="D33" s="9">
        <v>38.69</v>
      </c>
      <c r="E33" s="9">
        <v>37.869999999999997</v>
      </c>
      <c r="F33" s="9">
        <v>30.01</v>
      </c>
      <c r="G33" s="221">
        <v>39.93</v>
      </c>
      <c r="H33" s="113">
        <v>51.05</v>
      </c>
      <c r="I33" s="100">
        <v>13.61</v>
      </c>
      <c r="J33" s="1"/>
      <c r="K33" s="90" t="s">
        <v>59</v>
      </c>
      <c r="L33" s="91">
        <v>7685.8</v>
      </c>
      <c r="M33" s="91">
        <v>6363</v>
      </c>
      <c r="N33" s="91">
        <v>7869.3</v>
      </c>
      <c r="O33" s="91">
        <v>7920</v>
      </c>
      <c r="P33" s="153">
        <v>8865.6</v>
      </c>
      <c r="Q33" s="144">
        <v>11358.4</v>
      </c>
    </row>
    <row r="34" spans="2:20" ht="16.149999999999999" thickBot="1">
      <c r="B34" s="38" t="s">
        <v>13</v>
      </c>
      <c r="C34" s="39"/>
      <c r="D34" s="40"/>
      <c r="E34" s="40"/>
      <c r="F34" s="41" t="s">
        <v>43</v>
      </c>
      <c r="G34" s="139">
        <f>(G33/D33)^(1/3)-1</f>
        <v>1.0571067184002692E-2</v>
      </c>
      <c r="H34" s="176">
        <f>(H33/E33)^(1/3)-1</f>
        <v>0.10467234160731564</v>
      </c>
      <c r="I34" s="140"/>
      <c r="J34" s="1"/>
      <c r="K34" s="90" t="s">
        <v>60</v>
      </c>
      <c r="L34" s="91">
        <v>502.3</v>
      </c>
      <c r="M34" s="91">
        <v>326.2</v>
      </c>
      <c r="N34" s="91">
        <v>969.3</v>
      </c>
      <c r="O34" s="91">
        <v>348.6</v>
      </c>
      <c r="P34" s="153">
        <v>948.7</v>
      </c>
      <c r="Q34" s="154">
        <v>983.4</v>
      </c>
    </row>
    <row r="35" spans="2:20" ht="15.75">
      <c r="H35" s="42"/>
      <c r="J35" s="1"/>
      <c r="K35" s="90" t="s">
        <v>61</v>
      </c>
      <c r="L35" s="91">
        <v>216</v>
      </c>
      <c r="M35" s="91">
        <v>519.1</v>
      </c>
      <c r="N35" s="91">
        <v>790.8</v>
      </c>
      <c r="O35" s="91">
        <v>192.6</v>
      </c>
      <c r="P35" s="153">
        <v>103.9</v>
      </c>
      <c r="Q35" s="154">
        <v>194.6</v>
      </c>
      <c r="S35" s="23">
        <f>N60-N59</f>
        <v>0</v>
      </c>
    </row>
    <row r="36" spans="2:20" ht="15.75">
      <c r="H36" s="42"/>
      <c r="J36" s="1"/>
      <c r="K36" s="90" t="s">
        <v>62</v>
      </c>
      <c r="L36" s="91">
        <v>86</v>
      </c>
      <c r="M36" s="91">
        <v>115.3</v>
      </c>
      <c r="N36" s="91">
        <v>255.2</v>
      </c>
      <c r="O36" s="91">
        <v>166.8</v>
      </c>
      <c r="P36" s="99">
        <v>3221.8</v>
      </c>
      <c r="Q36" s="154">
        <v>918.9</v>
      </c>
    </row>
    <row r="37" spans="2:20" ht="15.75">
      <c r="H37" s="42"/>
      <c r="J37" s="1"/>
      <c r="K37" s="90" t="s">
        <v>63</v>
      </c>
      <c r="L37" s="91">
        <v>2933.8</v>
      </c>
      <c r="M37" s="91">
        <v>2056.4</v>
      </c>
      <c r="N37" s="91">
        <v>1204.3</v>
      </c>
      <c r="O37" s="91">
        <v>1227.4000000000001</v>
      </c>
      <c r="P37" s="99">
        <v>1493.7</v>
      </c>
      <c r="Q37" s="100">
        <v>2223.6</v>
      </c>
    </row>
    <row r="38" spans="2:20" ht="15.75">
      <c r="H38" s="42"/>
      <c r="J38" s="1"/>
      <c r="K38" s="90" t="s">
        <v>64</v>
      </c>
      <c r="L38" s="91"/>
      <c r="M38" s="91"/>
      <c r="N38" s="91"/>
      <c r="O38" s="91"/>
      <c r="P38" s="153">
        <v>887.1</v>
      </c>
      <c r="Q38" s="154"/>
    </row>
    <row r="39" spans="2:20" ht="15.75">
      <c r="B39" s="43"/>
      <c r="C39" s="43"/>
      <c r="D39" s="44"/>
      <c r="E39" s="44"/>
      <c r="F39" s="44"/>
      <c r="G39" s="44"/>
      <c r="H39" s="45"/>
      <c r="I39" s="44"/>
      <c r="J39" s="1"/>
      <c r="K39" s="95" t="s">
        <v>65</v>
      </c>
      <c r="L39" s="109"/>
      <c r="M39" s="109"/>
      <c r="N39" s="109"/>
      <c r="O39" s="109"/>
      <c r="P39" s="110"/>
      <c r="Q39" s="111"/>
    </row>
    <row r="40" spans="2:20" ht="15.75">
      <c r="H40" s="42"/>
      <c r="J40" s="1"/>
      <c r="K40" s="95" t="s">
        <v>66</v>
      </c>
      <c r="L40" s="96">
        <f>SUM(L42:L50)+L10</f>
        <v>9025.1</v>
      </c>
      <c r="M40" s="96">
        <f>SUM(M42:M50)+M10</f>
        <v>11020.5</v>
      </c>
      <c r="N40" s="96">
        <f>SUM(N42:N50)</f>
        <v>13295.1</v>
      </c>
      <c r="O40" s="96">
        <f>SUM(O42:O50)</f>
        <v>15264.699999999999</v>
      </c>
      <c r="P40" s="157">
        <f>SUM(P42:P50)</f>
        <v>14782.400000000001</v>
      </c>
      <c r="Q40" s="158">
        <f>SUM(Q42:Q50)</f>
        <v>17250.599999999999</v>
      </c>
    </row>
    <row r="41" spans="2:20" ht="15.75">
      <c r="H41" s="42"/>
      <c r="J41" s="1"/>
      <c r="K41" s="90" t="s">
        <v>67</v>
      </c>
      <c r="L41" s="102"/>
      <c r="M41" s="102"/>
      <c r="N41" s="102"/>
      <c r="O41" s="102"/>
      <c r="P41" s="155"/>
      <c r="Q41" s="156"/>
    </row>
    <row r="42" spans="2:20" ht="15.75">
      <c r="B42" s="1"/>
      <c r="C42" s="1"/>
      <c r="D42" s="1"/>
      <c r="E42" s="1"/>
      <c r="F42" s="1"/>
      <c r="G42" s="1"/>
      <c r="H42" s="46"/>
      <c r="I42" s="1"/>
      <c r="J42" s="1"/>
      <c r="K42" s="83" t="s">
        <v>68</v>
      </c>
      <c r="L42" s="91"/>
      <c r="M42" s="91"/>
      <c r="N42" s="91">
        <v>109.5</v>
      </c>
      <c r="O42" s="91">
        <v>68.7</v>
      </c>
      <c r="P42" s="103">
        <v>310.5</v>
      </c>
      <c r="Q42" s="100">
        <v>273.39999999999998</v>
      </c>
    </row>
    <row r="43" spans="2:20" ht="15.75">
      <c r="B43" s="1"/>
      <c r="C43" s="1"/>
      <c r="D43" s="1"/>
      <c r="E43" s="1"/>
      <c r="F43" s="1"/>
      <c r="G43" s="1"/>
      <c r="H43" s="46"/>
      <c r="I43" s="1"/>
      <c r="J43" s="1"/>
      <c r="K43" s="27" t="s">
        <v>69</v>
      </c>
      <c r="L43" s="91"/>
      <c r="M43" s="91">
        <v>154.30000000000001</v>
      </c>
      <c r="N43" s="91">
        <v>193.9</v>
      </c>
      <c r="O43" s="91">
        <v>252.2</v>
      </c>
      <c r="P43" s="153">
        <v>267.89999999999998</v>
      </c>
      <c r="Q43" s="100">
        <v>282.89999999999998</v>
      </c>
    </row>
    <row r="44" spans="2:20" ht="15.75">
      <c r="B44" s="1"/>
      <c r="C44" s="1"/>
      <c r="D44" s="1"/>
      <c r="E44" s="1"/>
      <c r="F44" s="1"/>
      <c r="G44" s="1"/>
      <c r="H44" s="46"/>
      <c r="I44" s="1"/>
      <c r="J44" s="1"/>
      <c r="K44" s="27" t="s">
        <v>70</v>
      </c>
      <c r="L44" s="91"/>
      <c r="M44" s="91"/>
      <c r="N44" s="91"/>
      <c r="O44" s="91"/>
      <c r="P44" s="153"/>
      <c r="Q44" s="154"/>
    </row>
    <row r="45" spans="2:20" ht="16.149999999999999" thickBot="1">
      <c r="B45" s="47"/>
      <c r="C45" s="48"/>
      <c r="D45" s="49"/>
      <c r="E45" s="49"/>
      <c r="F45" s="49"/>
      <c r="G45" s="49"/>
      <c r="H45" s="50"/>
      <c r="I45" s="49"/>
      <c r="J45" s="1"/>
      <c r="K45" s="27" t="s">
        <v>71</v>
      </c>
      <c r="L45" s="91">
        <v>596</v>
      </c>
      <c r="M45" s="91">
        <v>739.1</v>
      </c>
      <c r="N45" s="91">
        <v>441.4</v>
      </c>
      <c r="O45" s="91">
        <v>230.5</v>
      </c>
      <c r="P45" s="103">
        <v>214.3</v>
      </c>
      <c r="Q45" s="100">
        <v>319.60000000000002</v>
      </c>
    </row>
    <row r="46" spans="2:20" ht="15.75">
      <c r="B46" s="2" t="s">
        <v>72</v>
      </c>
      <c r="C46" s="3" t="s">
        <v>4</v>
      </c>
      <c r="D46" s="4" t="s">
        <v>5</v>
      </c>
      <c r="E46" s="4" t="s">
        <v>6</v>
      </c>
      <c r="F46" s="4" t="s">
        <v>7</v>
      </c>
      <c r="G46" s="4" t="s">
        <v>8</v>
      </c>
      <c r="H46" s="84" t="s">
        <v>126</v>
      </c>
      <c r="I46" s="179"/>
      <c r="J46" s="1"/>
      <c r="K46" s="90" t="s">
        <v>73</v>
      </c>
      <c r="L46" s="91">
        <v>4508.5</v>
      </c>
      <c r="M46" s="91">
        <v>5410.4</v>
      </c>
      <c r="N46" s="91">
        <v>7023.6</v>
      </c>
      <c r="O46" s="91">
        <v>7824.5</v>
      </c>
      <c r="P46" s="103">
        <v>7362.4</v>
      </c>
      <c r="Q46" s="100">
        <v>8244.9</v>
      </c>
      <c r="R46" s="23">
        <f>SUM(M45:M46)</f>
        <v>6149.5</v>
      </c>
      <c r="S46" s="23">
        <f>SUM(N45:N46)</f>
        <v>7465</v>
      </c>
      <c r="T46" s="23">
        <f>AVERAGE(R46:S46)</f>
        <v>6807.25</v>
      </c>
    </row>
    <row r="47" spans="2:20" ht="15.75">
      <c r="B47" s="51" t="s">
        <v>74</v>
      </c>
      <c r="C47" s="52">
        <v>487.3</v>
      </c>
      <c r="D47" s="53">
        <f>C54</f>
        <v>502.29999999999927</v>
      </c>
      <c r="E47" s="54">
        <f>D54</f>
        <v>326.19999999999919</v>
      </c>
      <c r="F47" s="53">
        <f>E54</f>
        <v>969.29999999999973</v>
      </c>
      <c r="G47" s="113">
        <v>348.6</v>
      </c>
      <c r="H47" s="100">
        <v>948.7</v>
      </c>
      <c r="I47" s="180"/>
      <c r="J47" s="1"/>
      <c r="K47" s="90" t="s">
        <v>75</v>
      </c>
      <c r="L47" s="91">
        <v>1705.5</v>
      </c>
      <c r="M47" s="91">
        <v>2049.1999999999998</v>
      </c>
      <c r="N47" s="91">
        <v>2053.3000000000002</v>
      </c>
      <c r="O47" s="91">
        <v>2987.9</v>
      </c>
      <c r="P47" s="103">
        <v>2537.1999999999998</v>
      </c>
      <c r="Q47" s="146">
        <v>3614</v>
      </c>
    </row>
    <row r="48" spans="2:20" ht="15.75">
      <c r="B48" s="51" t="s">
        <v>76</v>
      </c>
      <c r="C48" s="52">
        <v>5411.4</v>
      </c>
      <c r="D48" s="52">
        <v>11765.6</v>
      </c>
      <c r="E48" s="52">
        <v>8022.1</v>
      </c>
      <c r="F48" s="55">
        <v>6332.6</v>
      </c>
      <c r="G48" s="113">
        <v>9446.6</v>
      </c>
      <c r="H48" s="144">
        <v>12660.2</v>
      </c>
      <c r="I48" s="181"/>
      <c r="J48" s="1"/>
      <c r="K48" s="90" t="s">
        <v>77</v>
      </c>
      <c r="L48" s="91">
        <v>618.9</v>
      </c>
      <c r="M48" s="91">
        <v>994.1</v>
      </c>
      <c r="N48" s="91">
        <v>1186</v>
      </c>
      <c r="O48" s="91">
        <v>1372.9</v>
      </c>
      <c r="P48" s="103">
        <v>1416.6</v>
      </c>
      <c r="Q48" s="100">
        <v>1327.7</v>
      </c>
    </row>
    <row r="49" spans="2:20" ht="15.75">
      <c r="B49" s="51"/>
      <c r="C49" s="52"/>
      <c r="D49" s="52"/>
      <c r="E49" s="52"/>
      <c r="F49" s="55"/>
      <c r="G49" s="150"/>
      <c r="H49" s="151"/>
      <c r="I49" s="182"/>
      <c r="J49" s="1"/>
      <c r="K49" s="90" t="s">
        <v>78</v>
      </c>
      <c r="L49" s="91"/>
      <c r="M49" s="91"/>
      <c r="N49" s="91">
        <v>41.8</v>
      </c>
      <c r="O49" s="91"/>
      <c r="P49" s="153">
        <v>3.2</v>
      </c>
      <c r="Q49" s="154"/>
    </row>
    <row r="50" spans="2:20" ht="15.75">
      <c r="B50" s="51" t="s">
        <v>79</v>
      </c>
      <c r="C50" s="52">
        <v>-4628.6000000000004</v>
      </c>
      <c r="D50" s="52">
        <v>-8493.6</v>
      </c>
      <c r="E50" s="52">
        <v>-6349.7</v>
      </c>
      <c r="F50" s="55">
        <v>-4818.8999999999996</v>
      </c>
      <c r="G50" s="113">
        <v>-7729.2</v>
      </c>
      <c r="H50" s="144">
        <v>-10201.200000000001</v>
      </c>
      <c r="I50" s="181"/>
      <c r="J50" s="1"/>
      <c r="K50" s="90" t="s">
        <v>80</v>
      </c>
      <c r="L50" s="20">
        <v>1596.2</v>
      </c>
      <c r="M50" s="91">
        <v>1673.4</v>
      </c>
      <c r="N50" s="91">
        <v>2245.6</v>
      </c>
      <c r="O50" s="91">
        <v>2528</v>
      </c>
      <c r="P50" s="153">
        <v>2670.3</v>
      </c>
      <c r="Q50" s="100">
        <v>3188.1</v>
      </c>
      <c r="R50">
        <f>AVERAGE(SUM(M45:M46,N45:N46))</f>
        <v>13614.5</v>
      </c>
    </row>
    <row r="51" spans="2:20" ht="15.75">
      <c r="B51" s="51" t="s">
        <v>81</v>
      </c>
      <c r="C51" s="52">
        <v>-916.2</v>
      </c>
      <c r="D51" s="52">
        <v>-3637.9</v>
      </c>
      <c r="E51" s="52">
        <v>-1215</v>
      </c>
      <c r="F51" s="55">
        <v>-2134.8000000000002</v>
      </c>
      <c r="G51" s="113">
        <v>-1119.2</v>
      </c>
      <c r="H51" s="100">
        <v>-2424.9</v>
      </c>
      <c r="I51" s="180"/>
      <c r="J51" s="1"/>
      <c r="K51" s="56" t="s">
        <v>82</v>
      </c>
      <c r="L51" s="96">
        <f t="shared" ref="L51:Q51" si="10">L28-L40</f>
        <v>13015.999999999998</v>
      </c>
      <c r="M51" s="96">
        <f t="shared" si="10"/>
        <v>11212</v>
      </c>
      <c r="N51" s="96">
        <f t="shared" si="10"/>
        <v>14917.299999999997</v>
      </c>
      <c r="O51" s="96">
        <f t="shared" si="10"/>
        <v>12983.599999999997</v>
      </c>
      <c r="P51" s="157">
        <f t="shared" si="10"/>
        <v>19730.999999999993</v>
      </c>
      <c r="Q51" s="158">
        <f t="shared" si="10"/>
        <v>21443.600000000006</v>
      </c>
      <c r="R51" s="126"/>
    </row>
    <row r="52" spans="2:20" ht="15.75">
      <c r="B52" s="51" t="s">
        <v>83</v>
      </c>
      <c r="C52" s="52">
        <v>148.4</v>
      </c>
      <c r="D52" s="52">
        <v>189.8</v>
      </c>
      <c r="E52" s="52">
        <v>185.7</v>
      </c>
      <c r="F52" s="55"/>
      <c r="G52" s="150">
        <v>1.9</v>
      </c>
      <c r="H52" s="151">
        <v>0.6</v>
      </c>
      <c r="I52" s="182"/>
      <c r="J52" s="1"/>
      <c r="K52" s="56" t="s">
        <v>84</v>
      </c>
      <c r="L52" s="96">
        <f>SUM(L53:L58)</f>
        <v>2581.5</v>
      </c>
      <c r="M52" s="96">
        <f>SUM(M53:M58)</f>
        <v>2430.3999999999996</v>
      </c>
      <c r="N52" s="96">
        <f>SUM(N54:N58)</f>
        <v>2573.9</v>
      </c>
      <c r="O52" s="96">
        <f>SUM(O54:O58)</f>
        <v>2971.5</v>
      </c>
      <c r="P52" s="157">
        <f>SUM(P53:P58)</f>
        <v>4768</v>
      </c>
      <c r="Q52" s="158">
        <f>SUM(Q53:Q58)</f>
        <v>4539.7</v>
      </c>
    </row>
    <row r="53" spans="2:20" ht="15.75">
      <c r="B53" s="51" t="s">
        <v>85</v>
      </c>
      <c r="C53" s="57">
        <f t="shared" ref="C53:H53" si="11">C48+C50+C51+C52</f>
        <v>14.999999999999233</v>
      </c>
      <c r="D53" s="57">
        <f t="shared" si="11"/>
        <v>-176.10000000000008</v>
      </c>
      <c r="E53" s="55">
        <f t="shared" si="11"/>
        <v>643.10000000000059</v>
      </c>
      <c r="F53" s="55">
        <f t="shared" si="11"/>
        <v>-621.09999999999945</v>
      </c>
      <c r="G53" s="150">
        <f t="shared" si="11"/>
        <v>600.10000000000048</v>
      </c>
      <c r="H53" s="151">
        <f t="shared" si="11"/>
        <v>34.69999999999991</v>
      </c>
      <c r="I53" s="182"/>
      <c r="J53" s="1"/>
      <c r="K53" s="90" t="s">
        <v>86</v>
      </c>
      <c r="L53" s="91"/>
      <c r="M53" s="91"/>
      <c r="N53" s="91"/>
      <c r="O53" s="91"/>
      <c r="P53" s="153"/>
      <c r="Q53" s="154"/>
      <c r="R53" s="23"/>
      <c r="T53">
        <f>AVERAGE(SUM(M45:M46),SUM(N45:N46))</f>
        <v>6807.25</v>
      </c>
    </row>
    <row r="54" spans="2:20" ht="16.149999999999999" thickBot="1">
      <c r="B54" s="58" t="s">
        <v>87</v>
      </c>
      <c r="C54" s="59">
        <f t="shared" ref="C54:H54" si="12">C47+C53</f>
        <v>502.29999999999927</v>
      </c>
      <c r="D54" s="59">
        <f t="shared" si="12"/>
        <v>326.19999999999919</v>
      </c>
      <c r="E54" s="59">
        <f t="shared" si="12"/>
        <v>969.29999999999973</v>
      </c>
      <c r="F54" s="59">
        <f t="shared" si="12"/>
        <v>348.20000000000027</v>
      </c>
      <c r="G54" s="59">
        <f t="shared" si="12"/>
        <v>948.7000000000005</v>
      </c>
      <c r="H54" s="165">
        <f t="shared" si="12"/>
        <v>983.4</v>
      </c>
      <c r="I54" s="183"/>
      <c r="J54" s="1"/>
      <c r="K54" s="27" t="s">
        <v>68</v>
      </c>
      <c r="L54" s="91">
        <v>468</v>
      </c>
      <c r="M54" s="91">
        <v>343.4</v>
      </c>
      <c r="N54" s="91">
        <v>233.9</v>
      </c>
      <c r="O54" s="91">
        <v>165.2</v>
      </c>
      <c r="P54" s="153">
        <v>800.1</v>
      </c>
      <c r="Q54" s="154">
        <v>259.89999999999998</v>
      </c>
      <c r="R54" s="23"/>
    </row>
    <row r="55" spans="2:20" ht="15.75">
      <c r="B55" s="47"/>
      <c r="C55" s="60"/>
      <c r="D55" s="60"/>
      <c r="E55" s="60"/>
      <c r="F55" s="60"/>
      <c r="G55" s="60"/>
      <c r="H55" s="60"/>
      <c r="I55" s="60"/>
      <c r="J55" s="1"/>
      <c r="K55" s="27" t="s">
        <v>88</v>
      </c>
      <c r="L55" s="91"/>
      <c r="M55" s="91">
        <v>216.7</v>
      </c>
      <c r="N55" s="91">
        <v>385.9</v>
      </c>
      <c r="O55" s="91">
        <v>772.8</v>
      </c>
      <c r="P55" s="153">
        <v>635</v>
      </c>
      <c r="Q55" s="154">
        <v>750.7</v>
      </c>
    </row>
    <row r="56" spans="2:20" ht="15.75">
      <c r="B56" s="47"/>
      <c r="C56" s="60"/>
      <c r="D56" s="60"/>
      <c r="E56" s="60"/>
      <c r="F56" s="60"/>
      <c r="G56" s="60"/>
      <c r="H56" s="60"/>
      <c r="I56" s="60"/>
      <c r="J56" s="1"/>
      <c r="K56" s="27" t="s">
        <v>77</v>
      </c>
      <c r="L56" s="91">
        <v>694.6</v>
      </c>
      <c r="M56" s="91">
        <v>837.7</v>
      </c>
      <c r="N56" s="91">
        <v>954.1</v>
      </c>
      <c r="O56" s="91">
        <v>1082.9000000000001</v>
      </c>
      <c r="P56" s="153">
        <v>1463</v>
      </c>
      <c r="Q56" s="100">
        <v>1838.4</v>
      </c>
    </row>
    <row r="57" spans="2:20" ht="15.75">
      <c r="B57" s="47"/>
      <c r="C57" s="60"/>
      <c r="D57" s="60"/>
      <c r="E57" s="60"/>
      <c r="F57" s="60"/>
      <c r="G57" s="60"/>
      <c r="H57" s="60"/>
      <c r="I57" s="60"/>
      <c r="J57" s="1"/>
      <c r="K57" s="27" t="s">
        <v>89</v>
      </c>
      <c r="L57" s="91">
        <v>959.1</v>
      </c>
      <c r="M57" s="91">
        <v>441.3</v>
      </c>
      <c r="N57" s="91">
        <v>407.4</v>
      </c>
      <c r="O57" s="91">
        <v>313.7</v>
      </c>
      <c r="P57" s="99">
        <v>1039.8</v>
      </c>
      <c r="Q57" s="100">
        <v>906.2</v>
      </c>
    </row>
    <row r="58" spans="2:20" ht="16.149999999999999" thickBot="1">
      <c r="B58" s="1"/>
      <c r="C58" s="1"/>
      <c r="D58" s="1"/>
      <c r="E58" s="1"/>
      <c r="F58" s="1"/>
      <c r="G58" s="1"/>
      <c r="H58" s="1"/>
      <c r="I58" s="1"/>
      <c r="J58" s="1"/>
      <c r="K58" s="90" t="s">
        <v>90</v>
      </c>
      <c r="L58" s="91">
        <v>459.8</v>
      </c>
      <c r="M58" s="91">
        <v>591.29999999999995</v>
      </c>
      <c r="N58" s="91">
        <v>592.6</v>
      </c>
      <c r="O58" s="91">
        <v>636.9</v>
      </c>
      <c r="P58" s="153">
        <v>830.1</v>
      </c>
      <c r="Q58" s="100">
        <v>784.5</v>
      </c>
      <c r="R58" s="61"/>
    </row>
    <row r="59" spans="2:20" ht="16.149999999999999" thickBot="1">
      <c r="B59" s="62" t="s">
        <v>91</v>
      </c>
      <c r="C59" s="63" t="s">
        <v>4</v>
      </c>
      <c r="D59" s="64" t="s">
        <v>5</v>
      </c>
      <c r="E59" s="64" t="s">
        <v>6</v>
      </c>
      <c r="F59" s="65" t="s">
        <v>7</v>
      </c>
      <c r="G59" s="85" t="s">
        <v>8</v>
      </c>
      <c r="H59" s="85" t="str">
        <f>H46</f>
        <v>FY24</v>
      </c>
      <c r="I59" s="184"/>
      <c r="J59" s="1"/>
      <c r="K59" s="56" t="s">
        <v>92</v>
      </c>
      <c r="L59" s="96">
        <f t="shared" ref="L59:Q59" si="13">L28+L15+L39</f>
        <v>44956.999999999993</v>
      </c>
      <c r="M59" s="96">
        <f t="shared" si="13"/>
        <v>50004</v>
      </c>
      <c r="N59" s="96">
        <f t="shared" si="13"/>
        <v>57968.899999999994</v>
      </c>
      <c r="O59" s="96">
        <f t="shared" si="13"/>
        <v>63761.000000000007</v>
      </c>
      <c r="P59" s="96">
        <f t="shared" si="13"/>
        <v>79620.799999999988</v>
      </c>
      <c r="Q59" s="98">
        <f t="shared" si="13"/>
        <v>89777.600000000006</v>
      </c>
    </row>
    <row r="60" spans="2:20" ht="15.75">
      <c r="B60" s="66" t="s">
        <v>93</v>
      </c>
      <c r="C60" s="67">
        <f t="shared" ref="C60:H60" si="14">C48</f>
        <v>5411.4</v>
      </c>
      <c r="D60" s="67">
        <f t="shared" si="14"/>
        <v>11765.6</v>
      </c>
      <c r="E60" s="67">
        <f t="shared" si="14"/>
        <v>8022.1</v>
      </c>
      <c r="F60" s="68">
        <f t="shared" si="14"/>
        <v>6332.6</v>
      </c>
      <c r="G60" s="118">
        <f t="shared" si="14"/>
        <v>9446.6</v>
      </c>
      <c r="H60" s="118">
        <f t="shared" si="14"/>
        <v>12660.2</v>
      </c>
      <c r="I60" s="185"/>
      <c r="J60" s="1"/>
      <c r="K60" s="95" t="s">
        <v>94</v>
      </c>
      <c r="L60" s="96">
        <f>L8+L40+L52</f>
        <v>44957</v>
      </c>
      <c r="M60" s="96">
        <f>M8+M40+M52</f>
        <v>50004</v>
      </c>
      <c r="N60" s="96">
        <f>N8+N40+N52</f>
        <v>57968.9</v>
      </c>
      <c r="O60" s="96">
        <f>O8+O40+O52</f>
        <v>63761</v>
      </c>
      <c r="P60" s="96">
        <f>P52+P40+P8</f>
        <v>79620.800000000003</v>
      </c>
      <c r="Q60" s="98">
        <f>Q52+Q40+Q8</f>
        <v>89777.600000000006</v>
      </c>
    </row>
    <row r="61" spans="2:20" ht="16.149999999999999" thickBot="1">
      <c r="B61" s="69" t="s">
        <v>95</v>
      </c>
      <c r="C61" s="70">
        <f>-5282.2</f>
        <v>-5282.2</v>
      </c>
      <c r="D61" s="70">
        <v>-7012.29</v>
      </c>
      <c r="E61" s="70">
        <v>-4963.8</v>
      </c>
      <c r="F61" s="71">
        <v>-7597.5</v>
      </c>
      <c r="G61" s="119">
        <v>-5107.7</v>
      </c>
      <c r="H61" s="119">
        <v>-8711.8799999999992</v>
      </c>
      <c r="I61" s="186"/>
      <c r="J61" s="1"/>
      <c r="K61" s="112"/>
      <c r="L61" s="113"/>
      <c r="M61" s="113"/>
      <c r="N61" s="113"/>
      <c r="O61" s="113"/>
      <c r="P61" s="113"/>
      <c r="Q61" s="100"/>
    </row>
    <row r="62" spans="2:20" ht="16.149999999999999" thickBot="1">
      <c r="B62" s="72" t="s">
        <v>96</v>
      </c>
      <c r="C62" s="73">
        <f>C60+C61</f>
        <v>129.19999999999982</v>
      </c>
      <c r="D62" s="73">
        <f t="shared" ref="D62:H62" si="15">D60+D61</f>
        <v>4753.3100000000004</v>
      </c>
      <c r="E62" s="73">
        <f t="shared" si="15"/>
        <v>3058.3</v>
      </c>
      <c r="F62" s="73">
        <f t="shared" si="15"/>
        <v>-1264.8999999999996</v>
      </c>
      <c r="G62" s="73">
        <f t="shared" si="15"/>
        <v>4338.9000000000005</v>
      </c>
      <c r="H62" s="73">
        <f t="shared" si="15"/>
        <v>3948.3200000000015</v>
      </c>
      <c r="I62" s="187"/>
      <c r="J62" s="1"/>
      <c r="K62" s="227" t="s">
        <v>97</v>
      </c>
      <c r="L62" s="227"/>
      <c r="M62" s="227"/>
      <c r="N62" s="227"/>
      <c r="O62" s="227"/>
      <c r="P62" s="227"/>
      <c r="Q62" s="227"/>
    </row>
    <row r="63" spans="2:20" ht="16.149999999999999" thickBot="1">
      <c r="B63" s="1"/>
      <c r="C63" s="1"/>
      <c r="D63" s="1"/>
      <c r="E63" s="1"/>
      <c r="F63" s="1"/>
      <c r="G63" s="1"/>
      <c r="H63" s="1"/>
      <c r="I63" s="1"/>
      <c r="J63" s="1"/>
      <c r="K63" s="114"/>
      <c r="L63" s="222" t="s">
        <v>4</v>
      </c>
      <c r="M63" s="223" t="s">
        <v>5</v>
      </c>
      <c r="N63" s="223" t="s">
        <v>6</v>
      </c>
      <c r="O63" s="223" t="s">
        <v>7</v>
      </c>
      <c r="P63" s="223" t="s">
        <v>8</v>
      </c>
      <c r="Q63" s="224" t="s">
        <v>126</v>
      </c>
      <c r="R63" s="224" t="s">
        <v>128</v>
      </c>
    </row>
    <row r="64" spans="2:20" ht="15.75">
      <c r="B64" s="74" t="s">
        <v>91</v>
      </c>
      <c r="C64" s="3" t="s">
        <v>4</v>
      </c>
      <c r="D64" s="4" t="s">
        <v>5</v>
      </c>
      <c r="E64" s="4" t="s">
        <v>6</v>
      </c>
      <c r="F64" s="4" t="s">
        <v>7</v>
      </c>
      <c r="G64" s="4" t="s">
        <v>8</v>
      </c>
      <c r="H64" s="188" t="str">
        <f>Q63</f>
        <v>FY24</v>
      </c>
      <c r="I64" s="78" t="s">
        <v>128</v>
      </c>
      <c r="J64" s="1"/>
      <c r="K64" s="90" t="s">
        <v>98</v>
      </c>
      <c r="L64" s="191">
        <v>718.95</v>
      </c>
      <c r="M64" s="192">
        <v>478.1</v>
      </c>
      <c r="N64" s="191">
        <v>853.5</v>
      </c>
      <c r="O64" s="191">
        <v>536.15</v>
      </c>
      <c r="P64" s="192">
        <v>579.20000000000005</v>
      </c>
      <c r="Q64" s="193">
        <v>760.6</v>
      </c>
      <c r="R64" s="193">
        <v>1662.6</v>
      </c>
    </row>
    <row r="65" spans="2:20" ht="15.75">
      <c r="B65" s="17" t="s">
        <v>99</v>
      </c>
      <c r="C65" s="120">
        <v>170812500</v>
      </c>
      <c r="D65" s="121">
        <v>170812500</v>
      </c>
      <c r="E65" s="120">
        <v>170812500</v>
      </c>
      <c r="F65" s="120">
        <v>170812500</v>
      </c>
      <c r="G65" s="120">
        <v>170812500</v>
      </c>
      <c r="H65" s="189">
        <v>183025364</v>
      </c>
      <c r="I65" s="190">
        <v>183025364</v>
      </c>
      <c r="J65" s="1"/>
      <c r="K65" s="90" t="s">
        <v>100</v>
      </c>
      <c r="L65" s="194">
        <f>C33</f>
        <v>28.29</v>
      </c>
      <c r="M65" s="194">
        <f>D33</f>
        <v>38.69</v>
      </c>
      <c r="N65" s="194">
        <f>E33</f>
        <v>37.869999999999997</v>
      </c>
      <c r="O65" s="194">
        <f>F33</f>
        <v>30.01</v>
      </c>
      <c r="P65" s="194">
        <f>G33</f>
        <v>39.93</v>
      </c>
      <c r="Q65" s="193">
        <f>T65</f>
        <v>51.05</v>
      </c>
      <c r="R65" s="200">
        <v>53.82</v>
      </c>
      <c r="S65" s="75" t="s">
        <v>101</v>
      </c>
      <c r="T65" s="79">
        <v>51.05</v>
      </c>
    </row>
    <row r="66" spans="2:20" ht="15.75">
      <c r="B66" s="17" t="s">
        <v>102</v>
      </c>
      <c r="C66" s="122">
        <f t="shared" ref="C66:I66" si="16">(L64*C65)/1000000</f>
        <v>122805.64687500002</v>
      </c>
      <c r="D66" s="122">
        <f t="shared" si="16"/>
        <v>81665.456250000003</v>
      </c>
      <c r="E66" s="122">
        <f t="shared" si="16"/>
        <v>145788.46875</v>
      </c>
      <c r="F66" s="122">
        <f t="shared" si="16"/>
        <v>91581.121874999997</v>
      </c>
      <c r="G66" s="122">
        <f t="shared" si="16"/>
        <v>98934.60000000002</v>
      </c>
      <c r="H66" s="122">
        <f t="shared" si="16"/>
        <v>139209.0918584</v>
      </c>
      <c r="I66" s="123">
        <f t="shared" si="16"/>
        <v>304297.97018639994</v>
      </c>
      <c r="J66" s="1"/>
      <c r="K66" s="114" t="s">
        <v>103</v>
      </c>
      <c r="L66" s="195">
        <f t="shared" ref="L66:Q66" si="17">L8*1000000/C65</f>
        <v>195.24566410537869</v>
      </c>
      <c r="M66" s="195">
        <f t="shared" si="17"/>
        <v>213.99546286132454</v>
      </c>
      <c r="N66" s="195">
        <f t="shared" si="17"/>
        <v>246.46849615806806</v>
      </c>
      <c r="O66" s="195">
        <f t="shared" si="17"/>
        <v>266.51913648005853</v>
      </c>
      <c r="P66" s="195">
        <f t="shared" si="17"/>
        <v>351.6744968898646</v>
      </c>
      <c r="Q66" s="196">
        <f t="shared" si="17"/>
        <v>371.46381525568228</v>
      </c>
      <c r="R66" s="200" t="s">
        <v>117</v>
      </c>
    </row>
    <row r="67" spans="2:20" ht="15.75">
      <c r="B67" s="17" t="s">
        <v>104</v>
      </c>
      <c r="C67" s="124">
        <f t="shared" ref="C67:H67" si="18">L11</f>
        <v>468</v>
      </c>
      <c r="D67" s="124">
        <f t="shared" si="18"/>
        <v>343.4</v>
      </c>
      <c r="E67" s="124">
        <f t="shared" si="18"/>
        <v>343.4</v>
      </c>
      <c r="F67" s="124">
        <f t="shared" si="18"/>
        <v>233.89999999999998</v>
      </c>
      <c r="G67" s="124">
        <f t="shared" si="18"/>
        <v>1110.5999999999999</v>
      </c>
      <c r="H67" s="124">
        <f t="shared" si="18"/>
        <v>533.29999999999995</v>
      </c>
      <c r="I67" s="231" t="s">
        <v>129</v>
      </c>
      <c r="J67" s="1"/>
      <c r="K67" s="114" t="s">
        <v>105</v>
      </c>
      <c r="L67" s="197">
        <v>7.0774999999999997</v>
      </c>
      <c r="M67" s="197">
        <v>10.8332</v>
      </c>
      <c r="N67" s="197">
        <v>10.9823</v>
      </c>
      <c r="O67" s="197">
        <v>4.4894999999999996</v>
      </c>
      <c r="P67" s="197">
        <v>6.0975000000000001</v>
      </c>
      <c r="Q67" s="198">
        <v>9.9</v>
      </c>
      <c r="R67" s="200" t="s">
        <v>117</v>
      </c>
    </row>
    <row r="68" spans="2:20" ht="15.75">
      <c r="B68" s="17" t="s">
        <v>106</v>
      </c>
      <c r="C68" s="125">
        <f>L34</f>
        <v>502.3</v>
      </c>
      <c r="D68" s="125">
        <f t="shared" ref="D68:H68" si="19">M34</f>
        <v>326.2</v>
      </c>
      <c r="E68" s="125">
        <f t="shared" si="19"/>
        <v>969.3</v>
      </c>
      <c r="F68" s="125">
        <f t="shared" si="19"/>
        <v>348.6</v>
      </c>
      <c r="G68" s="125">
        <f t="shared" si="19"/>
        <v>948.7</v>
      </c>
      <c r="H68" s="125">
        <f t="shared" si="19"/>
        <v>983.4</v>
      </c>
      <c r="I68" s="232" t="s">
        <v>129</v>
      </c>
      <c r="J68" s="1"/>
      <c r="K68" s="114" t="s">
        <v>107</v>
      </c>
      <c r="L68" s="197">
        <f t="shared" ref="L68:R68" si="20">L64/L65</f>
        <v>25.413573700954402</v>
      </c>
      <c r="M68" s="197">
        <f t="shared" si="20"/>
        <v>12.357198242439908</v>
      </c>
      <c r="N68" s="197">
        <f t="shared" si="20"/>
        <v>22.537628729865329</v>
      </c>
      <c r="O68" s="197">
        <f t="shared" si="20"/>
        <v>17.86571142952349</v>
      </c>
      <c r="P68" s="197">
        <f t="shared" si="20"/>
        <v>14.505384422739796</v>
      </c>
      <c r="Q68" s="199">
        <f t="shared" si="20"/>
        <v>14.899118511263469</v>
      </c>
      <c r="R68" s="199">
        <f t="shared" si="20"/>
        <v>30.891861761426977</v>
      </c>
    </row>
    <row r="69" spans="2:20" ht="16.149999999999999" thickBot="1">
      <c r="B69" s="58" t="s">
        <v>108</v>
      </c>
      <c r="C69" s="76">
        <f t="shared" ref="C69:H69" si="21">C66+C67-C68</f>
        <v>122771.34687500002</v>
      </c>
      <c r="D69" s="76">
        <f t="shared" si="21"/>
        <v>81682.65625</v>
      </c>
      <c r="E69" s="76">
        <f t="shared" si="21"/>
        <v>145162.56875000001</v>
      </c>
      <c r="F69" s="76">
        <f t="shared" si="21"/>
        <v>91466.421874999985</v>
      </c>
      <c r="G69" s="76">
        <f t="shared" si="21"/>
        <v>99096.500000000029</v>
      </c>
      <c r="H69" s="76">
        <f t="shared" si="21"/>
        <v>138758.9918584</v>
      </c>
      <c r="I69" s="233" t="s">
        <v>129</v>
      </c>
      <c r="J69" s="1"/>
      <c r="K69" s="114" t="s">
        <v>109</v>
      </c>
      <c r="L69" s="201">
        <f t="shared" ref="L69:Q69" si="22">L64/L66</f>
        <v>3.6822840768026777</v>
      </c>
      <c r="M69" s="201">
        <f t="shared" si="22"/>
        <v>2.2341595172502471</v>
      </c>
      <c r="N69" s="201">
        <f t="shared" si="22"/>
        <v>3.4629172218936386</v>
      </c>
      <c r="O69" s="201">
        <f t="shared" si="22"/>
        <v>2.0116754356965871</v>
      </c>
      <c r="P69" s="201">
        <f t="shared" si="22"/>
        <v>1.6469775463456213</v>
      </c>
      <c r="Q69" s="202">
        <f t="shared" si="22"/>
        <v>2.0475749420612379</v>
      </c>
      <c r="R69" s="200" t="s">
        <v>117</v>
      </c>
    </row>
    <row r="70" spans="2:20" ht="15.75">
      <c r="B70" s="1"/>
      <c r="C70" s="1"/>
      <c r="D70" s="1"/>
      <c r="E70" s="1"/>
      <c r="F70" s="1"/>
      <c r="G70" s="1"/>
      <c r="H70" s="1"/>
      <c r="I70" s="1"/>
      <c r="J70" s="1"/>
      <c r="K70" s="114" t="s">
        <v>110</v>
      </c>
      <c r="L70" s="197">
        <f t="shared" ref="L70:Q70" si="23">C69/C14</f>
        <v>12.903062236597327</v>
      </c>
      <c r="M70" s="197">
        <f t="shared" si="23"/>
        <v>7.4336026728429214</v>
      </c>
      <c r="N70" s="197">
        <f t="shared" si="23"/>
        <v>13.01112942331134</v>
      </c>
      <c r="O70" s="197">
        <f t="shared" si="23"/>
        <v>8.9326166915699901</v>
      </c>
      <c r="P70" s="197">
        <f t="shared" si="23"/>
        <v>6.9204849399062809</v>
      </c>
      <c r="Q70" s="198">
        <f t="shared" si="23"/>
        <v>8.3664850895321674</v>
      </c>
      <c r="R70" s="200" t="s">
        <v>117</v>
      </c>
    </row>
    <row r="71" spans="2:20" ht="15.75">
      <c r="B71" s="1"/>
      <c r="C71" s="1"/>
      <c r="D71" s="1"/>
      <c r="E71" s="77"/>
      <c r="F71" s="77"/>
      <c r="G71" s="1"/>
      <c r="H71" s="1"/>
      <c r="I71" s="1"/>
      <c r="J71" s="1"/>
      <c r="K71" s="114" t="s">
        <v>111</v>
      </c>
      <c r="L71" s="203">
        <f t="shared" ref="L71:Q71" si="24">C26/L8</f>
        <v>0.14489481385530634</v>
      </c>
      <c r="M71" s="203">
        <f t="shared" si="24"/>
        <v>0.18085743753607814</v>
      </c>
      <c r="N71" s="203">
        <f t="shared" si="24"/>
        <v>0.15364169511091483</v>
      </c>
      <c r="O71" s="203">
        <f t="shared" si="24"/>
        <v>0.11259137876498065</v>
      </c>
      <c r="P71" s="203">
        <f t="shared" si="24"/>
        <v>0.12166224962710426</v>
      </c>
      <c r="Q71" s="204">
        <f t="shared" si="24"/>
        <v>0.13743449144178407</v>
      </c>
      <c r="R71" s="200" t="s">
        <v>117</v>
      </c>
    </row>
    <row r="72" spans="2:20" ht="15.75">
      <c r="B72" s="1"/>
      <c r="C72" s="1"/>
      <c r="D72" s="1"/>
      <c r="E72" s="1"/>
      <c r="F72" s="1"/>
      <c r="G72" s="1"/>
      <c r="H72" s="1"/>
      <c r="I72" s="1"/>
      <c r="J72" s="1"/>
      <c r="K72" s="114" t="s">
        <v>112</v>
      </c>
      <c r="L72" s="203">
        <f t="shared" ref="L72:Q72" si="25">(C14-C19)/L12</f>
        <v>0.19211063150014357</v>
      </c>
      <c r="M72" s="203">
        <f t="shared" si="25"/>
        <v>0.20358400081628533</v>
      </c>
      <c r="N72" s="203">
        <f t="shared" si="25"/>
        <v>0.17829689885346672</v>
      </c>
      <c r="O72" s="203">
        <f t="shared" si="25"/>
        <v>0.1295439033493275</v>
      </c>
      <c r="P72" s="203">
        <f t="shared" si="25"/>
        <v>0.15138097176981546</v>
      </c>
      <c r="Q72" s="204">
        <f t="shared" si="25"/>
        <v>0.16189556992568294</v>
      </c>
      <c r="R72" s="200" t="s">
        <v>117</v>
      </c>
    </row>
    <row r="73" spans="2:20" ht="15.75">
      <c r="B73" s="1"/>
      <c r="C73" s="1"/>
      <c r="D73" s="1"/>
      <c r="E73" s="1"/>
      <c r="F73" s="1"/>
      <c r="G73" s="1"/>
      <c r="H73" s="1"/>
      <c r="I73" s="1"/>
      <c r="J73" s="1"/>
      <c r="K73" s="114" t="s">
        <v>113</v>
      </c>
      <c r="L73" s="205">
        <f t="shared" ref="L73:Q73" si="26">L11/L8</f>
        <v>1.4032815198618306E-2</v>
      </c>
      <c r="M73" s="205">
        <f t="shared" si="26"/>
        <v>9.394552035258295E-3</v>
      </c>
      <c r="N73" s="205">
        <f t="shared" si="26"/>
        <v>8.15678897099518E-3</v>
      </c>
      <c r="O73" s="205">
        <f t="shared" si="26"/>
        <v>5.1378589252451404E-3</v>
      </c>
      <c r="P73" s="205">
        <f t="shared" si="26"/>
        <v>1.8488307053057745E-2</v>
      </c>
      <c r="Q73" s="206">
        <f t="shared" si="26"/>
        <v>7.844112062105715E-3</v>
      </c>
      <c r="R73" s="200" t="s">
        <v>117</v>
      </c>
    </row>
    <row r="74" spans="2:20" ht="15.75">
      <c r="B74" s="1"/>
      <c r="C74" s="1"/>
      <c r="D74" s="1"/>
      <c r="E74" s="1"/>
      <c r="F74" s="1"/>
      <c r="G74" s="1"/>
      <c r="H74" s="1"/>
      <c r="I74" s="1"/>
      <c r="J74" s="1"/>
      <c r="K74" s="114" t="s">
        <v>114</v>
      </c>
      <c r="L74" s="205">
        <f t="shared" ref="L74:Q74" si="27">+(L11-L34-L35)/L8</f>
        <v>-7.5051573594319704E-3</v>
      </c>
      <c r="M74" s="205">
        <f t="shared" si="27"/>
        <v>-1.3730709570460509E-2</v>
      </c>
      <c r="N74" s="205">
        <f t="shared" si="27"/>
        <v>-3.3650911284824898E-2</v>
      </c>
      <c r="O74" s="205">
        <f t="shared" si="27"/>
        <v>-6.7501669419744855E-3</v>
      </c>
      <c r="P74" s="205">
        <f t="shared" si="27"/>
        <v>9.6553377370551651E-4</v>
      </c>
      <c r="Q74" s="207">
        <f t="shared" si="27"/>
        <v>-9.482653377910287E-3</v>
      </c>
      <c r="R74" s="200" t="s">
        <v>117</v>
      </c>
    </row>
    <row r="75" spans="2:20" ht="15.75">
      <c r="B75" s="1"/>
      <c r="C75" s="1"/>
      <c r="D75" s="1"/>
      <c r="E75" s="1"/>
      <c r="F75" s="1"/>
      <c r="G75" s="1"/>
      <c r="H75" s="1"/>
      <c r="I75" s="1"/>
      <c r="J75" s="1"/>
      <c r="K75" s="114" t="s">
        <v>115</v>
      </c>
      <c r="L75" s="208">
        <f t="shared" ref="L75:Q75" si="28">L67/L64</f>
        <v>9.8442172612838164E-3</v>
      </c>
      <c r="M75" s="208">
        <f t="shared" si="28"/>
        <v>2.2658857979502196E-2</v>
      </c>
      <c r="N75" s="208">
        <f t="shared" si="28"/>
        <v>1.2867369654364382E-2</v>
      </c>
      <c r="O75" s="208">
        <f t="shared" si="28"/>
        <v>8.3735894805558146E-3</v>
      </c>
      <c r="P75" s="208">
        <f t="shared" si="28"/>
        <v>1.0527451657458563E-2</v>
      </c>
      <c r="Q75" s="209">
        <f t="shared" si="28"/>
        <v>1.3016039968445964E-2</v>
      </c>
      <c r="R75" s="200" t="s">
        <v>117</v>
      </c>
    </row>
    <row r="76" spans="2:20" ht="15.75">
      <c r="B76" s="1"/>
      <c r="C76" s="1"/>
      <c r="D76" s="1"/>
      <c r="E76" s="1"/>
      <c r="F76" s="1"/>
      <c r="G76" s="1"/>
      <c r="H76" s="1"/>
      <c r="I76" s="1"/>
      <c r="J76" s="1"/>
      <c r="K76" s="114" t="s">
        <v>116</v>
      </c>
      <c r="L76" s="210" t="s">
        <v>117</v>
      </c>
      <c r="M76" s="211">
        <f t="shared" ref="M76:Q76" si="29">(AVERAGE(L33:M33)/D5*365)</f>
        <v>37.486965345217307</v>
      </c>
      <c r="N76" s="211">
        <f t="shared" si="29"/>
        <v>36.328317095071455</v>
      </c>
      <c r="O76" s="211">
        <f t="shared" si="29"/>
        <v>33.132086373122227</v>
      </c>
      <c r="P76" s="211">
        <f t="shared" si="29"/>
        <v>29.478175519630479</v>
      </c>
      <c r="Q76" s="211">
        <f t="shared" si="29"/>
        <v>31.523243062269611</v>
      </c>
      <c r="R76" s="200" t="s">
        <v>117</v>
      </c>
    </row>
    <row r="77" spans="2:20" ht="15.75">
      <c r="B77" s="1"/>
      <c r="C77" s="1"/>
      <c r="D77" s="1"/>
      <c r="E77" s="1"/>
      <c r="F77" s="1"/>
      <c r="G77" s="1"/>
      <c r="H77" s="1"/>
      <c r="I77" s="1"/>
      <c r="J77" s="1"/>
      <c r="K77" s="116" t="s">
        <v>118</v>
      </c>
      <c r="L77" s="212" t="s">
        <v>117</v>
      </c>
      <c r="M77" s="211">
        <f t="shared" ref="M77:Q77" si="30">AVERAGE(SUM(M45:M46),SUM(N45:N46))/(D9+D10+D11)*365</f>
        <v>55.874298660849824</v>
      </c>
      <c r="N77" s="211">
        <f t="shared" si="30"/>
        <v>59.70010833870812</v>
      </c>
      <c r="O77" s="211">
        <f t="shared" si="30"/>
        <v>46.603857809143406</v>
      </c>
      <c r="P77" s="211">
        <f t="shared" si="30"/>
        <v>42.092997667985095</v>
      </c>
      <c r="Q77" s="211">
        <f t="shared" si="30"/>
        <v>34.16588100427375</v>
      </c>
      <c r="R77" s="200" t="s">
        <v>117</v>
      </c>
    </row>
    <row r="78" spans="2:20" ht="15.75">
      <c r="B78" s="1"/>
      <c r="C78" s="1"/>
      <c r="D78" s="1"/>
      <c r="E78" s="1"/>
      <c r="F78" s="1"/>
      <c r="G78" s="1"/>
      <c r="H78" s="1"/>
      <c r="I78" s="1"/>
      <c r="J78" s="1"/>
      <c r="K78" s="116" t="s">
        <v>119</v>
      </c>
      <c r="L78" s="210" t="s">
        <v>117</v>
      </c>
      <c r="M78" s="211">
        <f t="shared" ref="M78:Q78" si="31">(AVERAGE(L30:M30)/D8*365)</f>
        <v>70.080574780119974</v>
      </c>
      <c r="N78" s="211">
        <f t="shared" si="31"/>
        <v>78.089893273230473</v>
      </c>
      <c r="O78" s="211">
        <f t="shared" si="31"/>
        <v>77.143525052813743</v>
      </c>
      <c r="P78" s="211">
        <f t="shared" si="31"/>
        <v>72.073086482583278</v>
      </c>
      <c r="Q78" s="211">
        <f t="shared" si="31"/>
        <v>66.869918496944763</v>
      </c>
      <c r="R78" s="200" t="s">
        <v>117</v>
      </c>
    </row>
    <row r="79" spans="2:20" ht="15.75">
      <c r="B79" s="1"/>
      <c r="C79" s="1"/>
      <c r="D79" s="1"/>
      <c r="E79" s="1"/>
      <c r="F79" s="1"/>
      <c r="G79" s="1"/>
      <c r="H79" s="1"/>
      <c r="I79" s="1"/>
      <c r="J79" s="1"/>
      <c r="K79" s="116" t="s">
        <v>120</v>
      </c>
      <c r="L79" s="212" t="s">
        <v>117</v>
      </c>
      <c r="M79" s="211">
        <f t="shared" ref="M79:Q79" si="32">(M76+M78-M77)</f>
        <v>51.69324146448745</v>
      </c>
      <c r="N79" s="211">
        <f t="shared" si="32"/>
        <v>54.718102029593808</v>
      </c>
      <c r="O79" s="211">
        <f t="shared" si="32"/>
        <v>63.671753616792572</v>
      </c>
      <c r="P79" s="211">
        <f t="shared" si="32"/>
        <v>59.458264334228666</v>
      </c>
      <c r="Q79" s="213">
        <f t="shared" si="32"/>
        <v>64.22728055494062</v>
      </c>
      <c r="R79" s="200" t="s">
        <v>117</v>
      </c>
    </row>
    <row r="80" spans="2:20" ht="15.75">
      <c r="B80" s="1"/>
      <c r="C80" s="1"/>
      <c r="D80" s="1"/>
      <c r="E80" s="1"/>
      <c r="F80" s="1"/>
      <c r="G80" s="1"/>
      <c r="H80" s="1"/>
      <c r="I80" s="1"/>
      <c r="J80" s="1"/>
      <c r="K80" s="116" t="s">
        <v>121</v>
      </c>
      <c r="L80" s="212" t="s">
        <v>117</v>
      </c>
      <c r="M80" s="211">
        <f t="shared" ref="M80:Q80" si="33">((AVERAGE(L51,M51))/D5)*365</f>
        <v>64.648524883543431</v>
      </c>
      <c r="N80" s="211">
        <f t="shared" si="33"/>
        <v>66.695720008168067</v>
      </c>
      <c r="O80" s="211">
        <f t="shared" si="33"/>
        <v>58.546929166451065</v>
      </c>
      <c r="P80" s="211">
        <f t="shared" si="33"/>
        <v>57.452025596612756</v>
      </c>
      <c r="Q80" s="213">
        <f t="shared" si="33"/>
        <v>64.17904093115736</v>
      </c>
      <c r="R80" s="200" t="s">
        <v>117</v>
      </c>
    </row>
    <row r="81" spans="2:18" ht="15.75">
      <c r="B81" s="1"/>
      <c r="C81" s="1"/>
      <c r="D81" s="1"/>
      <c r="E81" s="1"/>
      <c r="F81" s="1"/>
      <c r="G81" s="1"/>
      <c r="H81" s="1"/>
      <c r="I81" s="1"/>
      <c r="J81" s="1"/>
      <c r="K81" s="114" t="s">
        <v>122</v>
      </c>
      <c r="L81" s="214">
        <f>C5/(AVERAGE(L16:L16))</f>
        <v>3.7550703407866011</v>
      </c>
      <c r="M81" s="214">
        <f t="shared" ref="M81:Q81" si="34">D5/(AVERAGE(L16:M16))</f>
        <v>3.9572651056221906</v>
      </c>
      <c r="N81" s="214">
        <f t="shared" si="34"/>
        <v>3.7993963290856732</v>
      </c>
      <c r="O81" s="214">
        <f t="shared" si="34"/>
        <v>4.09892968738954</v>
      </c>
      <c r="P81" s="214">
        <f t="shared" si="34"/>
        <v>4.1709478551245827</v>
      </c>
      <c r="Q81" s="215">
        <f t="shared" si="34"/>
        <v>4.0619750559419936</v>
      </c>
      <c r="R81" s="200" t="s">
        <v>117</v>
      </c>
    </row>
    <row r="82" spans="2:18" ht="15.75">
      <c r="B82" s="1"/>
      <c r="C82" s="1"/>
      <c r="D82" s="1"/>
      <c r="E82" s="1"/>
      <c r="F82" s="1"/>
      <c r="G82" s="1"/>
      <c r="H82" s="1"/>
      <c r="I82" s="1"/>
      <c r="J82" s="1"/>
      <c r="K82" s="114" t="s">
        <v>123</v>
      </c>
      <c r="L82" s="203">
        <f t="shared" ref="L82:Q82" si="35">C20/L11</f>
        <v>0.1485042735042735</v>
      </c>
      <c r="M82" s="203">
        <f t="shared" si="35"/>
        <v>0.35497961560861974</v>
      </c>
      <c r="N82" s="203">
        <f t="shared" si="35"/>
        <v>0.30663948747815961</v>
      </c>
      <c r="O82" s="203">
        <f t="shared" si="35"/>
        <v>0.64557503206498512</v>
      </c>
      <c r="P82" s="203">
        <f t="shared" si="35"/>
        <v>0.26652260039618225</v>
      </c>
      <c r="Q82" s="204">
        <f t="shared" si="35"/>
        <v>0.64447777986124133</v>
      </c>
      <c r="R82" s="200" t="s">
        <v>117</v>
      </c>
    </row>
    <row r="83" spans="2:18" ht="15.75">
      <c r="B83" s="1"/>
      <c r="C83" s="1"/>
      <c r="D83" s="1"/>
      <c r="E83" s="1"/>
      <c r="F83" s="1"/>
      <c r="G83" s="1"/>
      <c r="H83" s="1"/>
      <c r="I83" s="1"/>
      <c r="K83" s="116" t="s">
        <v>124</v>
      </c>
      <c r="L83" s="201">
        <f t="shared" ref="L83:Q83" si="36">(C14-C19)/C20</f>
        <v>99.322302158273502</v>
      </c>
      <c r="M83" s="201">
        <f t="shared" si="36"/>
        <v>65.470877768662987</v>
      </c>
      <c r="N83" s="201">
        <f t="shared" si="36"/>
        <v>75.642924976258342</v>
      </c>
      <c r="O83" s="201">
        <f t="shared" si="36"/>
        <v>41.605298013244976</v>
      </c>
      <c r="P83" s="201">
        <f t="shared" si="36"/>
        <v>33.15979729729731</v>
      </c>
      <c r="Q83" s="202">
        <f t="shared" si="36"/>
        <v>34.162932790224055</v>
      </c>
      <c r="R83" s="200" t="s">
        <v>117</v>
      </c>
    </row>
    <row r="84" spans="2:18" ht="16.149999999999999" thickBot="1">
      <c r="K84" s="117" t="s">
        <v>125</v>
      </c>
      <c r="L84" s="216">
        <f t="shared" ref="L84:Q84" si="37">L82*(1-C24)</f>
        <v>9.8288915485981732E-2</v>
      </c>
      <c r="M84" s="216">
        <f t="shared" si="37"/>
        <v>0.27905758259433089</v>
      </c>
      <c r="N84" s="216">
        <f t="shared" si="37"/>
        <v>0.22710668081009677</v>
      </c>
      <c r="O84" s="216">
        <f t="shared" si="37"/>
        <v>0.47879151838399886</v>
      </c>
      <c r="P84" s="216">
        <f t="shared" si="37"/>
        <v>0.19543742742943052</v>
      </c>
      <c r="Q84" s="217">
        <f t="shared" si="37"/>
        <v>0.48166494532701987</v>
      </c>
      <c r="R84" s="200" t="s">
        <v>117</v>
      </c>
    </row>
  </sheetData>
  <mergeCells count="4">
    <mergeCell ref="B2:Q2"/>
    <mergeCell ref="K3:Q3"/>
    <mergeCell ref="K62:Q62"/>
    <mergeCell ref="B3:I3"/>
  </mergeCells>
  <pageMargins left="0.7" right="0.7" top="0.75" bottom="0.75" header="0.511811023622047" footer="0.511811023622047"/>
  <pageSetup paperSize="9" scale="2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DELL</cp:lastModifiedBy>
  <cp:revision>9</cp:revision>
  <cp:lastPrinted>2024-01-02T06:03:43Z</cp:lastPrinted>
  <dcterms:created xsi:type="dcterms:W3CDTF">2022-10-27T15:35:00Z</dcterms:created>
  <dcterms:modified xsi:type="dcterms:W3CDTF">2024-08-22T04:55:43Z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