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V15\Desktop\Yuvraj\Summary\schaffler\"/>
    </mc:Choice>
  </mc:AlternateContent>
  <xr:revisionPtr revIDLastSave="0" documentId="13_ncr:1_{BA2BD7C9-1402-4858-9EB6-25E0829D90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ummary Sheet" sheetId="1" r:id="rId1"/>
    <sheet name="Sheet1" sheetId="4" r:id="rId2"/>
    <sheet name="Peer working" sheetId="3" state="hidden" r:id="rId3"/>
    <sheet name="Peers" sheetId="2" state="hidden" r:id="rId4"/>
  </sheets>
  <definedNames>
    <definedName name="_xlnm.Print_Area" localSheetId="0">'Summary Sheet'!$A$1:$O$82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L70" i="1"/>
  <c r="K70" i="1"/>
  <c r="C39" i="1"/>
  <c r="D39" i="1"/>
  <c r="E39" i="1"/>
  <c r="B39" i="1"/>
  <c r="J68" i="1" s="1"/>
  <c r="F39" i="1"/>
  <c r="G39" i="1"/>
  <c r="O68" i="1"/>
  <c r="B40" i="1"/>
  <c r="M67" i="1"/>
  <c r="L67" i="1"/>
  <c r="K67" i="1"/>
  <c r="J67" i="1"/>
  <c r="G57" i="1"/>
  <c r="J69" i="1"/>
  <c r="G48" i="1"/>
  <c r="G20" i="1"/>
  <c r="O83" i="1"/>
  <c r="O81" i="1"/>
  <c r="O82" i="1" s="1"/>
  <c r="O80" i="1"/>
  <c r="O79" i="1"/>
  <c r="O40" i="1"/>
  <c r="N40" i="1"/>
  <c r="O26" i="1"/>
  <c r="G38" i="1"/>
  <c r="G37" i="1"/>
  <c r="G19" i="1"/>
  <c r="G18" i="1"/>
  <c r="G9" i="1"/>
  <c r="G8" i="1"/>
  <c r="G35" i="1"/>
  <c r="D50" i="1"/>
  <c r="G40" i="1" l="1"/>
  <c r="G41" i="1"/>
  <c r="G10" i="1"/>
  <c r="B10" i="1"/>
  <c r="B7" i="1"/>
  <c r="K26" i="1" l="1"/>
  <c r="J80" i="1"/>
  <c r="B26" i="1"/>
  <c r="B35" i="1"/>
  <c r="B50" i="1"/>
  <c r="B56" i="1"/>
  <c r="B58" i="1" s="1"/>
  <c r="B62" i="1"/>
  <c r="B64" i="1"/>
  <c r="J7" i="1"/>
  <c r="J12" i="1" s="1"/>
  <c r="J11" i="1"/>
  <c r="J22" i="1"/>
  <c r="J32" i="1"/>
  <c r="J47" i="1"/>
  <c r="J60" i="1"/>
  <c r="J71" i="1"/>
  <c r="J79" i="1"/>
  <c r="C35" i="1"/>
  <c r="O47" i="1"/>
  <c r="F57" i="1"/>
  <c r="N60" i="1"/>
  <c r="N26" i="1"/>
  <c r="F35" i="1"/>
  <c r="C10" i="1"/>
  <c r="E35" i="1"/>
  <c r="N47" i="1"/>
  <c r="L47" i="1"/>
  <c r="K47" i="1"/>
  <c r="M47" i="1"/>
  <c r="B63" i="1" l="1"/>
  <c r="J84" i="1"/>
  <c r="B52" i="1"/>
  <c r="J72" i="1"/>
  <c r="J81" i="1"/>
  <c r="J82" i="1" s="1"/>
  <c r="B17" i="1"/>
  <c r="J75" i="1" s="1"/>
  <c r="J76" i="1"/>
  <c r="J77" i="1"/>
  <c r="J61" i="1"/>
  <c r="J83" i="1" s="1"/>
  <c r="B65" i="1"/>
  <c r="J33" i="1"/>
  <c r="J78" i="1"/>
  <c r="J62" i="1"/>
  <c r="N62" i="1"/>
  <c r="F10" i="1"/>
  <c r="F41" i="1"/>
  <c r="J73" i="1" l="1"/>
  <c r="B20" i="1"/>
  <c r="B24" i="1"/>
  <c r="B30" i="1" s="1"/>
  <c r="B29" i="1"/>
  <c r="J63" i="1"/>
  <c r="J13" i="1"/>
  <c r="B31" i="1" l="1"/>
  <c r="J74" i="1"/>
  <c r="B36" i="1"/>
  <c r="G62" i="1"/>
  <c r="G65" i="1" s="1"/>
  <c r="O73" i="1" s="1"/>
  <c r="O60" i="1"/>
  <c r="O32" i="1"/>
  <c r="O22" i="1"/>
  <c r="O11" i="1"/>
  <c r="O7" i="1"/>
  <c r="G64" i="1"/>
  <c r="G56" i="1"/>
  <c r="G50" i="1"/>
  <c r="G26" i="1"/>
  <c r="G7" i="1"/>
  <c r="G17" i="1" s="1"/>
  <c r="G24" i="1" s="1"/>
  <c r="F7" i="1"/>
  <c r="O12" i="1" l="1"/>
  <c r="O75" i="1" s="1"/>
  <c r="O74" i="1"/>
  <c r="O62" i="1"/>
  <c r="O61" i="1"/>
  <c r="O76" i="1"/>
  <c r="O69" i="1"/>
  <c r="O72" i="1" s="1"/>
  <c r="O77" i="1"/>
  <c r="G63" i="1"/>
  <c r="O33" i="1"/>
  <c r="O71" i="1"/>
  <c r="G58" i="1"/>
  <c r="E41" i="1"/>
  <c r="E40" i="1"/>
  <c r="F40" i="1"/>
  <c r="O13" i="1" l="1"/>
  <c r="O63" i="1"/>
  <c r="G30" i="1"/>
  <c r="E11" i="4"/>
  <c r="B9" i="4"/>
  <c r="B8" i="4"/>
  <c r="G29" i="1" l="1"/>
  <c r="G36" i="1"/>
  <c r="G31" i="1"/>
  <c r="E57" i="1"/>
  <c r="N79" i="1" l="1"/>
  <c r="M79" i="1"/>
  <c r="N22" i="1"/>
  <c r="N32" i="1"/>
  <c r="N11" i="1"/>
  <c r="N7" i="1"/>
  <c r="N68" i="1"/>
  <c r="N78" i="1" s="1"/>
  <c r="M68" i="1"/>
  <c r="M71" i="1" s="1"/>
  <c r="L68" i="1"/>
  <c r="L71" i="1" s="1"/>
  <c r="K68" i="1"/>
  <c r="F62" i="1"/>
  <c r="E62" i="1"/>
  <c r="D62" i="1"/>
  <c r="F64" i="1"/>
  <c r="E64" i="1"/>
  <c r="D64" i="1"/>
  <c r="F56" i="1"/>
  <c r="F58" i="1" s="1"/>
  <c r="F50" i="1"/>
  <c r="N81" i="1"/>
  <c r="N69" i="1" l="1"/>
  <c r="N72" i="1" s="1"/>
  <c r="N12" i="1"/>
  <c r="N33" i="1"/>
  <c r="M78" i="1"/>
  <c r="N13" i="1"/>
  <c r="N71" i="1"/>
  <c r="N77" i="1"/>
  <c r="N80" i="1"/>
  <c r="N82" i="1" s="1"/>
  <c r="N61" i="1"/>
  <c r="F63" i="1"/>
  <c r="F65" i="1" s="1"/>
  <c r="N76" i="1"/>
  <c r="M60" i="1"/>
  <c r="M32" i="1"/>
  <c r="M22" i="1"/>
  <c r="M11" i="1"/>
  <c r="M7" i="1"/>
  <c r="M12" i="1" s="1"/>
  <c r="N63" i="1" l="1"/>
  <c r="M62" i="1"/>
  <c r="M13" i="1" s="1"/>
  <c r="E63" i="1"/>
  <c r="M33" i="1"/>
  <c r="M69" i="1"/>
  <c r="M72" i="1" s="1"/>
  <c r="M76" i="1"/>
  <c r="M77" i="1"/>
  <c r="M61" i="1"/>
  <c r="F26" i="1"/>
  <c r="E56" i="1"/>
  <c r="E50" i="1"/>
  <c r="E26" i="1"/>
  <c r="E10" i="1"/>
  <c r="E7" i="1"/>
  <c r="M63" i="1" l="1"/>
  <c r="M81" i="1"/>
  <c r="E58" i="1"/>
  <c r="E17" i="1"/>
  <c r="M75" i="1" l="1"/>
  <c r="E20" i="1"/>
  <c r="E24" i="1"/>
  <c r="D40" i="1"/>
  <c r="C40" i="1"/>
  <c r="E29" i="1" l="1"/>
  <c r="E30" i="1"/>
  <c r="M74" i="1" s="1"/>
  <c r="E36" i="1" l="1"/>
  <c r="E31" i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B7" i="3" l="1"/>
  <c r="L79" i="1" l="1"/>
  <c r="K79" i="1"/>
  <c r="C64" i="1"/>
  <c r="C62" i="1"/>
  <c r="D56" i="1"/>
  <c r="D58" i="1" s="1"/>
  <c r="C56" i="1"/>
  <c r="C58" i="1" s="1"/>
  <c r="C50" i="1" l="1"/>
  <c r="L22" i="1"/>
  <c r="K22" i="1"/>
  <c r="L11" i="1"/>
  <c r="D63" i="1" s="1"/>
  <c r="K11" i="1"/>
  <c r="L7" i="1"/>
  <c r="L12" i="1" s="1"/>
  <c r="K7" i="1"/>
  <c r="K12" i="1" s="1"/>
  <c r="I5" i="3" l="1"/>
  <c r="L69" i="1"/>
  <c r="L72" i="1" s="1"/>
  <c r="E65" i="1"/>
  <c r="M73" i="1" s="1"/>
  <c r="D65" i="1"/>
  <c r="L76" i="1"/>
  <c r="L77" i="1"/>
  <c r="L78" i="1"/>
  <c r="C63" i="1"/>
  <c r="C65" i="1" s="1"/>
  <c r="K77" i="1"/>
  <c r="K76" i="1"/>
  <c r="K69" i="1"/>
  <c r="K72" i="1" s="1"/>
  <c r="K71" i="1"/>
  <c r="K78" i="1"/>
  <c r="I9" i="3"/>
  <c r="C46" i="1"/>
  <c r="C52" i="1" s="1"/>
  <c r="D46" i="1" s="1"/>
  <c r="D52" i="1" s="1"/>
  <c r="E46" i="1" s="1"/>
  <c r="E52" i="1" s="1"/>
  <c r="L60" i="1"/>
  <c r="I11" i="3" s="1"/>
  <c r="K60" i="1"/>
  <c r="I10" i="3"/>
  <c r="M80" i="1"/>
  <c r="M82" i="1" s="1"/>
  <c r="F46" i="1" l="1"/>
  <c r="F52" i="1" s="1"/>
  <c r="G46" i="1" s="1"/>
  <c r="G52" i="1" s="1"/>
  <c r="L32" i="1"/>
  <c r="L61" i="1" s="1"/>
  <c r="M83" i="1" s="1"/>
  <c r="I18" i="3"/>
  <c r="K32" i="1"/>
  <c r="K33" i="1" s="1"/>
  <c r="K62" i="1"/>
  <c r="L62" i="1"/>
  <c r="L33" i="1" l="1"/>
  <c r="L63" i="1" s="1"/>
  <c r="I17" i="3"/>
  <c r="I20" i="3" s="1"/>
  <c r="K61" i="1"/>
  <c r="L13" i="1"/>
  <c r="K63" i="1"/>
  <c r="K13" i="1"/>
  <c r="D35" i="1"/>
  <c r="D26" i="1" l="1"/>
  <c r="C26" i="1"/>
  <c r="F8" i="1"/>
  <c r="D7" i="1"/>
  <c r="C7" i="1"/>
  <c r="C8" i="1" s="1"/>
  <c r="E9" i="1"/>
  <c r="D10" i="1"/>
  <c r="B9" i="3" s="1"/>
  <c r="C17" i="1" l="1"/>
  <c r="C24" i="1" s="1"/>
  <c r="C30" i="1" s="1"/>
  <c r="E8" i="1"/>
  <c r="N83" i="1"/>
  <c r="F9" i="1"/>
  <c r="K83" i="1"/>
  <c r="L83" i="1"/>
  <c r="D8" i="1"/>
  <c r="L81" i="1"/>
  <c r="L80" i="1"/>
  <c r="K80" i="1"/>
  <c r="K81" i="1"/>
  <c r="F17" i="1"/>
  <c r="D17" i="1"/>
  <c r="F18" i="1" l="1"/>
  <c r="L75" i="1"/>
  <c r="E18" i="1"/>
  <c r="B7" i="4"/>
  <c r="B11" i="4" s="1"/>
  <c r="C15" i="4" s="1"/>
  <c r="F19" i="1"/>
  <c r="E19" i="1"/>
  <c r="N75" i="1"/>
  <c r="N73" i="1"/>
  <c r="K75" i="1"/>
  <c r="C18" i="1"/>
  <c r="B11" i="3"/>
  <c r="D18" i="1"/>
  <c r="B12" i="3"/>
  <c r="L82" i="1"/>
  <c r="K82" i="1"/>
  <c r="C20" i="1"/>
  <c r="K73" i="1"/>
  <c r="D20" i="1"/>
  <c r="L73" i="1"/>
  <c r="F24" i="1"/>
  <c r="F30" i="1" s="1"/>
  <c r="N74" i="1" s="1"/>
  <c r="F20" i="1"/>
  <c r="D24" i="1"/>
  <c r="C29" i="1"/>
  <c r="B13" i="3" l="1"/>
  <c r="B22" i="3"/>
  <c r="D29" i="1"/>
  <c r="B21" i="3"/>
  <c r="F31" i="1"/>
  <c r="F36" i="1"/>
  <c r="F29" i="1"/>
  <c r="D30" i="1"/>
  <c r="K74" i="1"/>
  <c r="F37" i="1" l="1"/>
  <c r="E38" i="1"/>
  <c r="L74" i="1"/>
  <c r="B24" i="3"/>
  <c r="B25" i="3"/>
  <c r="C31" i="1"/>
  <c r="C36" i="1"/>
  <c r="D31" i="1"/>
  <c r="D36" i="1"/>
  <c r="E37" i="1" l="1"/>
  <c r="F38" i="1"/>
  <c r="C37" i="1"/>
  <c r="D37" i="1"/>
  <c r="B26" i="3"/>
</calcChain>
</file>

<file path=xl/sharedStrings.xml><?xml version="1.0" encoding="utf-8"?>
<sst xmlns="http://schemas.openxmlformats.org/spreadsheetml/2006/main" count="323" uniqueCount="210">
  <si>
    <t>Income Statement</t>
  </si>
  <si>
    <t>Y/E, Mar (Rs. mn)</t>
  </si>
  <si>
    <t>FY20</t>
  </si>
  <si>
    <t>Income</t>
  </si>
  <si>
    <t>Net 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</si>
  <si>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</si>
  <si>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</si>
  <si>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</si>
  <si>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</si>
  <si>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</si>
  <si>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</si>
  <si>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</si>
  <si>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</si>
  <si>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</si>
  <si>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</si>
  <si>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</si>
  <si>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</si>
  <si>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</si>
  <si>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</si>
  <si>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Minority Interest</t>
  </si>
  <si>
    <t>Other Comprehensive Income</t>
  </si>
  <si>
    <t>PAT After MI</t>
  </si>
  <si>
    <t>CAGR (%)</t>
  </si>
  <si>
    <t>EPS</t>
  </si>
  <si>
    <t>Y/E, Mar (Rs. Mn)</t>
  </si>
  <si>
    <t>Purchase of stock-in-trade</t>
  </si>
  <si>
    <t>Changes in Inventory of finished goods, work in progress and stock in trade</t>
  </si>
  <si>
    <t>Excise duty</t>
  </si>
  <si>
    <t>Finance Cost</t>
  </si>
  <si>
    <t>Current Tax</t>
  </si>
  <si>
    <t>Deferred Tax</t>
  </si>
  <si>
    <t>Tax Expenses</t>
  </si>
  <si>
    <t>Share of loss of associates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</si>
  <si>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</si>
  <si>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</si>
  <si>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</si>
  <si>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</si>
  <si>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</si>
  <si>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</si>
  <si>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</si>
  <si>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</si>
  <si>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</si>
  <si>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</si>
  <si>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</si>
  <si>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</si>
  <si>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</si>
  <si>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</si>
  <si>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</si>
  <si>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</si>
  <si>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</si>
  <si>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</si>
  <si>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</si>
  <si>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</si>
  <si>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</si>
  <si>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</si>
  <si>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</si>
  <si>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</si>
  <si>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</si>
  <si>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</si>
  <si>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</si>
  <si>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</si>
  <si>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</si>
  <si>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</si>
  <si>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</si>
  <si>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</si>
  <si>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</si>
  <si>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</si>
  <si>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</si>
  <si>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</si>
  <si>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</si>
  <si>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</si>
  <si>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</si>
  <si>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Check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</si>
  <si>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</si>
  <si>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</si>
  <si>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</si>
  <si>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</si>
  <si>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</si>
  <si>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</si>
  <si>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</si>
  <si>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</si>
  <si>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</si>
  <si>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</si>
  <si>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</si>
  <si>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</si>
  <si>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</si>
  <si>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</si>
  <si>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</si>
  <si>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</si>
  <si>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</si>
  <si>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</si>
  <si>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</si>
  <si>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</si>
  <si>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</si>
  <si>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</si>
  <si>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</si>
  <si>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</si>
  <si>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</si>
  <si>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</si>
  <si>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</si>
  <si>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</si>
  <si>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</si>
  <si>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</si>
  <si>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</si>
  <si>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</si>
  <si>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</si>
  <si>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</si>
  <si>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</si>
  <si>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</si>
  <si>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</si>
  <si>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</si>
  <si>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</si>
  <si>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</si>
  <si>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</si>
  <si>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</si>
  <si>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</si>
  <si>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</si>
  <si>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</si>
  <si>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</si>
  <si>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</si>
  <si>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</si>
  <si>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</si>
  <si>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</si>
  <si>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</si>
  <si>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</si>
  <si>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</si>
  <si>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</si>
  <si>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</si>
  <si>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</si>
  <si>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</si>
  <si>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</si>
  <si>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</si>
  <si>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</si>
  <si>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</si>
  <si>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</si>
  <si>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</si>
  <si>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</si>
  <si>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</si>
  <si>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</si>
  <si>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</si>
  <si>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</si>
  <si>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</si>
  <si>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</si>
  <si>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</si>
  <si>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</si>
  <si>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</si>
  <si>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</si>
  <si>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</si>
  <si>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</si>
  <si>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</si>
  <si>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</si>
  <si>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</si>
  <si>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</si>
  <si>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</si>
  <si>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</si>
  <si>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</si>
  <si>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</si>
  <si>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</si>
  <si>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</si>
  <si>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</si>
  <si>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</si>
  <si>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</si>
  <si>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</si>
  <si>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</si>
  <si>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</si>
  <si>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</si>
  <si>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</si>
  <si>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</si>
  <si>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</si>
  <si>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</si>
  <si>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</si>
  <si>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</si>
  <si>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</si>
  <si>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</si>
  <si>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</si>
  <si>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 xml:space="preserve">ROCE </t>
  </si>
  <si>
    <t>Numerator</t>
  </si>
  <si>
    <t xml:space="preserve">Non Current Liabilities </t>
  </si>
  <si>
    <t xml:space="preserve">Equity </t>
  </si>
  <si>
    <t>Denominator</t>
  </si>
  <si>
    <t>Capital Employed = Non Current Liabilities + Equity</t>
  </si>
  <si>
    <t xml:space="preserve">ROCE"=(EBITDA-Dep+Other income)/Capital Employed" </t>
  </si>
  <si>
    <t>(C) Right of use asset</t>
  </si>
  <si>
    <t>(vi) Other current financial assets</t>
  </si>
  <si>
    <t>(v) Loans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</si>
  <si>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</si>
  <si>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</si>
  <si>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</si>
  <si>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</si>
  <si>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</si>
  <si>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</si>
  <si>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TTM EPS</t>
  </si>
  <si>
    <t>Based on TTM</t>
  </si>
  <si>
    <t xml:space="preserve">Schaeffler India Ltd. (Consolidated) </t>
  </si>
  <si>
    <t>(I) Deferred tax assets (net)</t>
  </si>
  <si>
    <t>(i) Loans</t>
  </si>
  <si>
    <t>Exceptional items</t>
  </si>
  <si>
    <t>CY 22</t>
  </si>
  <si>
    <t>CY21</t>
  </si>
  <si>
    <t>CY20</t>
  </si>
  <si>
    <t>CY19</t>
  </si>
  <si>
    <t>CY18</t>
  </si>
  <si>
    <t>Assets Held for sale</t>
  </si>
  <si>
    <t>Cash and Cash Equivalents</t>
  </si>
  <si>
    <t xml:space="preserve">NA </t>
  </si>
  <si>
    <t>NA</t>
  </si>
  <si>
    <t>CY 23</t>
  </si>
  <si>
    <t xml:space="preserve"> CY 23</t>
  </si>
  <si>
    <t>(D) Goodwill on Consolidation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</si>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</sst>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MyFirstFont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9" xfId="3" applyNumberFormat="1" applyFont="1" applyBorder="1"/>
    <xf numFmtId="166" fontId="3" fillId="3" borderId="9" xfId="3" applyNumberFormat="1" applyFont="1" applyFill="1" applyBorder="1"/>
    <xf numFmtId="166" fontId="0" fillId="0" borderId="7" xfId="3" applyNumberFormat="1" applyFont="1" applyBorder="1"/>
    <xf numFmtId="0" fontId="3" fillId="0" borderId="0" xfId="0" applyFont="1"/>
    <xf numFmtId="0" fontId="3" fillId="0" borderId="5" xfId="0" applyFont="1" applyBorder="1"/>
    <xf numFmtId="2" fontId="3" fillId="0" borderId="9" xfId="0" applyNumberFormat="1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" fontId="0" fillId="3" borderId="1" xfId="0" applyNumberFormat="1" applyFill="1" applyBorder="1"/>
    <xf numFmtId="1" fontId="0" fillId="3" borderId="7" xfId="0" applyNumberFormat="1" applyFill="1" applyBorder="1"/>
    <xf numFmtId="0" fontId="5" fillId="3" borderId="5" xfId="0" applyFont="1" applyFill="1" applyBorder="1"/>
    <xf numFmtId="165" fontId="6" fillId="3" borderId="1" xfId="2" applyNumberFormat="1" applyFont="1" applyFill="1" applyBorder="1" applyAlignment="1">
      <alignment horizontal="right"/>
    </xf>
    <xf numFmtId="0" fontId="8" fillId="0" borderId="5" xfId="1" applyFont="1" applyBorder="1"/>
    <xf numFmtId="0" fontId="0" fillId="3" borderId="5" xfId="0" applyFill="1" applyBorder="1"/>
    <xf numFmtId="0" fontId="0" fillId="3" borderId="6" xfId="0" applyFill="1" applyBorder="1"/>
    <xf numFmtId="165" fontId="6" fillId="3" borderId="7" xfId="2" applyNumberFormat="1" applyFont="1" applyFill="1" applyBorder="1" applyAlignment="1">
      <alignment horizontal="right"/>
    </xf>
    <xf numFmtId="1" fontId="5" fillId="3" borderId="1" xfId="0" applyNumberFormat="1" applyFont="1" applyFill="1" applyBorder="1"/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1" fontId="0" fillId="0" borderId="9" xfId="0" applyNumberFormat="1" applyBorder="1"/>
    <xf numFmtId="10" fontId="3" fillId="0" borderId="1" xfId="2" applyNumberFormat="1" applyFont="1" applyBorder="1"/>
    <xf numFmtId="0" fontId="7" fillId="2" borderId="10" xfId="1" applyFont="1" applyFill="1" applyBorder="1"/>
    <xf numFmtId="0" fontId="3" fillId="2" borderId="3" xfId="1" applyFont="1" applyFill="1" applyBorder="1" applyAlignment="1">
      <alignment horizontal="center"/>
    </xf>
    <xf numFmtId="0" fontId="0" fillId="0" borderId="9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0" fontId="0" fillId="0" borderId="6" xfId="0" applyBorder="1"/>
    <xf numFmtId="166" fontId="0" fillId="0" borderId="0" xfId="0" applyNumberFormat="1"/>
    <xf numFmtId="0" fontId="3" fillId="2" borderId="8" xfId="1" applyFont="1" applyFill="1" applyBorder="1" applyAlignment="1">
      <alignment horizontal="center"/>
    </xf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2" borderId="17" xfId="1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0" xfId="0" applyFont="1" applyBorder="1"/>
    <xf numFmtId="0" fontId="0" fillId="0" borderId="10" xfId="0" applyBorder="1"/>
    <xf numFmtId="166" fontId="0" fillId="0" borderId="19" xfId="3" applyNumberFormat="1" applyFont="1" applyBorder="1"/>
    <xf numFmtId="0" fontId="3" fillId="0" borderId="14" xfId="0" applyFont="1" applyBorder="1"/>
    <xf numFmtId="10" fontId="3" fillId="3" borderId="18" xfId="2" applyNumberFormat="1" applyFont="1" applyFill="1" applyBorder="1"/>
    <xf numFmtId="166" fontId="0" fillId="0" borderId="1" xfId="3" applyNumberFormat="1" applyFont="1" applyFill="1" applyBorder="1"/>
    <xf numFmtId="166" fontId="3" fillId="0" borderId="1" xfId="3" applyNumberFormat="1" applyFont="1" applyFill="1" applyBorder="1"/>
    <xf numFmtId="166" fontId="0" fillId="0" borderId="18" xfId="3" applyNumberFormat="1" applyFont="1" applyFill="1" applyBorder="1"/>
    <xf numFmtId="9" fontId="0" fillId="3" borderId="1" xfId="2" applyFont="1" applyFill="1" applyBorder="1"/>
    <xf numFmtId="4" fontId="0" fillId="0" borderId="0" xfId="0" applyNumberFormat="1"/>
    <xf numFmtId="0" fontId="0" fillId="0" borderId="20" xfId="0" applyBorder="1"/>
    <xf numFmtId="0" fontId="3" fillId="0" borderId="3" xfId="1" applyFont="1" applyBorder="1" applyAlignment="1">
      <alignment horizontal="center"/>
    </xf>
    <xf numFmtId="4" fontId="0" fillId="0" borderId="1" xfId="0" applyNumberFormat="1" applyBorder="1"/>
    <xf numFmtId="0" fontId="3" fillId="2" borderId="15" xfId="1" applyFont="1" applyFill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3" fontId="10" fillId="0" borderId="0" xfId="0" applyNumberFormat="1" applyFont="1"/>
    <xf numFmtId="3" fontId="0" fillId="0" borderId="1" xfId="0" applyNumberFormat="1" applyBorder="1"/>
    <xf numFmtId="166" fontId="0" fillId="0" borderId="21" xfId="3" applyNumberFormat="1" applyFont="1" applyBorder="1"/>
    <xf numFmtId="0" fontId="0" fillId="0" borderId="2" xfId="0" applyBorder="1"/>
    <xf numFmtId="2" fontId="0" fillId="0" borderId="2" xfId="0" applyNumberFormat="1" applyBorder="1"/>
    <xf numFmtId="3" fontId="0" fillId="0" borderId="1" xfId="3" applyNumberFormat="1" applyFont="1" applyFill="1" applyBorder="1"/>
    <xf numFmtId="3" fontId="0" fillId="0" borderId="1" xfId="3" applyNumberFormat="1" applyFont="1" applyBorder="1"/>
    <xf numFmtId="3" fontId="0" fillId="0" borderId="0" xfId="0" applyNumberFormat="1"/>
    <xf numFmtId="166" fontId="0" fillId="0" borderId="1" xfId="3" applyNumberFormat="1" applyFont="1" applyBorder="1" applyAlignment="1">
      <alignment horizontal="right" wrapText="1"/>
    </xf>
    <xf numFmtId="0" fontId="0" fillId="0" borderId="3" xfId="0" applyBorder="1"/>
    <xf numFmtId="166" fontId="0" fillId="0" borderId="3" xfId="3" applyNumberFormat="1" applyFont="1" applyFill="1" applyBorder="1"/>
    <xf numFmtId="4" fontId="10" fillId="0" borderId="0" xfId="0" applyNumberFormat="1" applyFont="1"/>
    <xf numFmtId="43" fontId="0" fillId="0" borderId="0" xfId="0" applyNumberFormat="1"/>
    <xf numFmtId="10" fontId="3" fillId="3" borderId="9" xfId="2" applyNumberFormat="1" applyFont="1" applyFill="1" applyBorder="1"/>
    <xf numFmtId="9" fontId="0" fillId="3" borderId="9" xfId="2" applyFont="1" applyFill="1" applyBorder="1"/>
    <xf numFmtId="166" fontId="0" fillId="3" borderId="22" xfId="3" applyNumberFormat="1" applyFont="1" applyFill="1" applyBorder="1"/>
    <xf numFmtId="2" fontId="3" fillId="0" borderId="18" xfId="0" applyNumberFormat="1" applyFont="1" applyBorder="1"/>
    <xf numFmtId="166" fontId="3" fillId="0" borderId="9" xfId="3" applyNumberFormat="1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6" fontId="3" fillId="0" borderId="18" xfId="3" applyNumberFormat="1" applyFont="1" applyFill="1" applyBorder="1"/>
    <xf numFmtId="3" fontId="9" fillId="0" borderId="21" xfId="0" applyNumberFormat="1" applyFont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0" fillId="0" borderId="9" xfId="0" applyNumberFormat="1" applyFill="1" applyBorder="1"/>
    <xf numFmtId="1" fontId="0" fillId="0" borderId="9" xfId="0" applyNumberFormat="1" applyFill="1" applyBorder="1"/>
    <xf numFmtId="166" fontId="0" fillId="0" borderId="9" xfId="3" applyNumberFormat="1" applyFont="1" applyFill="1" applyBorder="1"/>
    <xf numFmtId="4" fontId="0" fillId="0" borderId="9" xfId="0" applyNumberFormat="1" applyFill="1" applyBorder="1"/>
    <xf numFmtId="2" fontId="3" fillId="0" borderId="1" xfId="0" applyNumberFormat="1" applyFont="1" applyFill="1" applyBorder="1"/>
    <xf numFmtId="164" fontId="0" fillId="3" borderId="1" xfId="0" applyNumberFormat="1" applyFill="1" applyBorder="1"/>
    <xf numFmtId="10" fontId="0" fillId="0" borderId="0" xfId="2" applyNumberFormat="1" applyFont="1"/>
    <xf numFmtId="2" fontId="0" fillId="0" borderId="1" xfId="0" applyNumberFormat="1" applyFill="1" applyBorder="1"/>
    <xf numFmtId="2" fontId="0" fillId="0" borderId="9" xfId="0" applyNumberFormat="1" applyFill="1" applyBorder="1" applyAlignment="1">
      <alignment horizontal="right"/>
    </xf>
    <xf numFmtId="10" fontId="0" fillId="0" borderId="1" xfId="2" applyNumberFormat="1" applyFont="1" applyBorder="1" applyAlignment="1">
      <alignment horizontal="right"/>
    </xf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tabSelected="1" zoomScale="85" zoomScaleNormal="85" zoomScaleSheetLayoutView="91" workbookViewId="0">
      <pane xSplit="1" ySplit="4" topLeftCell="G62" activePane="bottomRight" state="frozen"/>
      <selection pane="topRight" activeCell="C1" sqref="C1"/>
      <selection pane="bottomLeft" activeCell="A5" sqref="A5"/>
      <selection pane="bottomRight" activeCell="M85" sqref="M85"/>
    </sheetView>
  </sheetViews>
  <sheetFormatPr defaultColWidth="8.7109375" defaultRowHeight="15"/>
  <cols>
    <col min="1" max="1" width="72.42578125" bestFit="1" customWidth="1"/>
    <col min="2" max="2" width="12.7109375" bestFit="1" customWidth="1"/>
    <col min="3" max="3" width="14.7109375" bestFit="1" customWidth="1"/>
    <col min="4" max="4" width="14.42578125" bestFit="1" customWidth="1"/>
    <col min="5" max="5" width="14.42578125" customWidth="1"/>
    <col min="6" max="6" width="14.42578125" bestFit="1" customWidth="1"/>
    <col min="7" max="7" width="14.42578125" customWidth="1"/>
    <col min="8" max="8" width="2.7109375" customWidth="1"/>
    <col min="9" max="9" width="48.7109375" bestFit="1" customWidth="1"/>
    <col min="10" max="12" width="10.7109375" bestFit="1" customWidth="1"/>
    <col min="13" max="13" width="10.7109375" customWidth="1"/>
    <col min="14" max="14" width="10.7109375" bestFit="1" customWidth="1"/>
    <col min="15" max="15" width="10.7109375" customWidth="1"/>
  </cols>
  <sheetData>
    <row r="1" spans="1:15" ht="15.75" thickBot="1">
      <c r="A1" s="98" t="s">
        <v>193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</row>
    <row r="2" spans="1:15" ht="15.75" thickBot="1"/>
    <row r="3" spans="1:15" ht="15.75" thickBot="1">
      <c r="A3" s="98" t="s">
        <v>0</v>
      </c>
      <c r="B3" s="99"/>
      <c r="C3" s="99"/>
      <c r="D3" s="99"/>
      <c r="E3" s="99"/>
      <c r="F3" s="99"/>
      <c r="G3" s="100"/>
      <c r="I3" s="102" t="s">
        <v>145</v>
      </c>
      <c r="J3" s="103"/>
      <c r="K3" s="103"/>
      <c r="L3" s="103"/>
      <c r="M3" s="103"/>
      <c r="N3" s="103"/>
      <c r="O3" s="104"/>
    </row>
    <row r="4" spans="1:15">
      <c r="A4" s="49" t="s">
        <v>24</v>
      </c>
      <c r="B4" s="50" t="s">
        <v>201</v>
      </c>
      <c r="C4" s="50" t="s">
        <v>200</v>
      </c>
      <c r="D4" s="75" t="s">
        <v>199</v>
      </c>
      <c r="E4" s="75" t="s">
        <v>198</v>
      </c>
      <c r="F4" s="59" t="s">
        <v>197</v>
      </c>
      <c r="G4" s="62" t="s">
        <v>206</v>
      </c>
      <c r="I4" s="49" t="s">
        <v>1</v>
      </c>
      <c r="J4" s="50" t="s">
        <v>201</v>
      </c>
      <c r="K4" s="50" t="s">
        <v>200</v>
      </c>
      <c r="L4" s="75" t="s">
        <v>199</v>
      </c>
      <c r="M4" s="75" t="s">
        <v>198</v>
      </c>
      <c r="N4" s="59" t="s">
        <v>197</v>
      </c>
      <c r="O4" s="62" t="s">
        <v>207</v>
      </c>
    </row>
    <row r="5" spans="1:15">
      <c r="A5" s="1" t="s">
        <v>3</v>
      </c>
      <c r="B5" s="81">
        <v>45615.1</v>
      </c>
      <c r="C5" s="81">
        <v>43606</v>
      </c>
      <c r="D5" s="76">
        <v>37618.400000000001</v>
      </c>
      <c r="E5" s="70">
        <v>55605</v>
      </c>
      <c r="F5" s="70">
        <v>68674.2</v>
      </c>
      <c r="G5" s="108">
        <v>72509.100000000006</v>
      </c>
      <c r="H5" s="26"/>
      <c r="I5" s="29" t="s">
        <v>33</v>
      </c>
      <c r="J5" s="19">
        <v>312.60000000000002</v>
      </c>
      <c r="K5" s="19">
        <v>312.60000000000002</v>
      </c>
      <c r="L5" s="46">
        <v>312.60000000000002</v>
      </c>
      <c r="M5" s="46">
        <v>312.60000000000002</v>
      </c>
      <c r="N5" s="5">
        <v>312.60000000000002</v>
      </c>
      <c r="O5" s="5">
        <v>312.60000000000002</v>
      </c>
    </row>
    <row r="6" spans="1:15">
      <c r="A6" s="65" t="s">
        <v>14</v>
      </c>
      <c r="B6">
        <v>908</v>
      </c>
      <c r="C6" s="89">
        <v>632.1</v>
      </c>
      <c r="D6" s="89">
        <v>603</v>
      </c>
      <c r="E6" s="89">
        <v>723.8</v>
      </c>
      <c r="F6" s="89">
        <v>776.8</v>
      </c>
      <c r="G6" s="71">
        <v>1245.5</v>
      </c>
      <c r="I6" s="29" t="s">
        <v>34</v>
      </c>
      <c r="J6" s="19">
        <v>26748.7</v>
      </c>
      <c r="K6" s="19">
        <v>29309</v>
      </c>
      <c r="L6" s="81">
        <v>31090.3</v>
      </c>
      <c r="M6" s="81">
        <v>36224.1</v>
      </c>
      <c r="N6" s="109">
        <v>42546.400000000001</v>
      </c>
      <c r="O6" s="110">
        <v>47740.9</v>
      </c>
    </row>
    <row r="7" spans="1:15">
      <c r="A7" s="30" t="s">
        <v>4</v>
      </c>
      <c r="B7" s="20">
        <f>B5+B6</f>
        <v>46523.1</v>
      </c>
      <c r="C7" s="20">
        <f t="shared" ref="C7:D7" si="0">C5+C6</f>
        <v>44238.1</v>
      </c>
      <c r="D7" s="20">
        <f t="shared" si="0"/>
        <v>38221.4</v>
      </c>
      <c r="E7" s="20">
        <f>E5+E6</f>
        <v>56328.800000000003</v>
      </c>
      <c r="F7" s="20">
        <f>F5+F6</f>
        <v>69451</v>
      </c>
      <c r="G7" s="24">
        <f>G5+G6</f>
        <v>73754.600000000006</v>
      </c>
      <c r="I7" s="30" t="s">
        <v>67</v>
      </c>
      <c r="J7" s="20">
        <f t="shared" ref="J7:L7" si="1">SUM(J5:J6)</f>
        <v>27061.3</v>
      </c>
      <c r="K7" s="20">
        <f t="shared" si="1"/>
        <v>29621.599999999999</v>
      </c>
      <c r="L7" s="20">
        <f t="shared" si="1"/>
        <v>31402.899999999998</v>
      </c>
      <c r="M7" s="20">
        <f>SUM(M5:M6)</f>
        <v>36536.699999999997</v>
      </c>
      <c r="N7" s="20">
        <f>SUM(N5:N6)</f>
        <v>42859</v>
      </c>
      <c r="O7" s="24">
        <f>SUM(O5:O6)</f>
        <v>48053.5</v>
      </c>
    </row>
    <row r="8" spans="1:15">
      <c r="A8" s="34" t="s">
        <v>5</v>
      </c>
      <c r="B8" s="35" t="s">
        <v>204</v>
      </c>
      <c r="C8" s="35">
        <f>+C7/B7-1</f>
        <v>-4.9115385690119528E-2</v>
      </c>
      <c r="D8" s="35">
        <f t="shared" ref="D8:E8" si="2">+D7/C7-1</f>
        <v>-0.13600719741580214</v>
      </c>
      <c r="E8" s="35">
        <f t="shared" si="2"/>
        <v>0.47375030741940383</v>
      </c>
      <c r="F8" s="35">
        <f>+F7/E7-1</f>
        <v>0.2329572083907343</v>
      </c>
      <c r="G8" s="35">
        <f>+G7/F7-1</f>
        <v>6.1965990410505434E-2</v>
      </c>
      <c r="I8" s="29" t="s">
        <v>35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3"/>
    </row>
    <row r="9" spans="1:15">
      <c r="A9" s="34" t="s">
        <v>6</v>
      </c>
      <c r="B9" s="40"/>
      <c r="C9" s="35"/>
      <c r="D9" s="35"/>
      <c r="E9" s="35">
        <f>+((E7/B7)^(1/3)-1)</f>
        <v>6.5828391004699505E-2</v>
      </c>
      <c r="F9" s="35">
        <f>+((F7/C7)^(1/3)-1)</f>
        <v>0.16223516763296142</v>
      </c>
      <c r="G9" s="35">
        <f>+((G7/D7)^(1/3)-1)</f>
        <v>0.24497560165380383</v>
      </c>
      <c r="I9" s="29" t="s">
        <v>68</v>
      </c>
      <c r="J9" s="19">
        <v>48.7</v>
      </c>
      <c r="K9" s="19">
        <v>0</v>
      </c>
      <c r="L9" s="19">
        <v>0</v>
      </c>
      <c r="M9" s="19">
        <v>0</v>
      </c>
      <c r="N9" s="19">
        <v>0</v>
      </c>
      <c r="O9" s="23">
        <v>0</v>
      </c>
    </row>
    <row r="10" spans="1:15">
      <c r="A10" s="30" t="s">
        <v>7</v>
      </c>
      <c r="B10" s="20">
        <f>SUM(B11:B16)</f>
        <v>38218.699999999997</v>
      </c>
      <c r="C10" s="20">
        <f t="shared" ref="C10:F10" si="3">SUM(C11:C16)</f>
        <v>37269.699999999997</v>
      </c>
      <c r="D10" s="20">
        <f t="shared" si="3"/>
        <v>32257.199999999997</v>
      </c>
      <c r="E10" s="20">
        <f t="shared" si="3"/>
        <v>45889.700000000004</v>
      </c>
      <c r="F10" s="20">
        <f t="shared" si="3"/>
        <v>55730.3</v>
      </c>
      <c r="G10" s="24">
        <f>SUM(G11:G16)</f>
        <v>59297.1</v>
      </c>
      <c r="I10" s="29" t="s">
        <v>69</v>
      </c>
      <c r="J10" s="19">
        <v>528.70000000000005</v>
      </c>
      <c r="K10" s="19">
        <v>0</v>
      </c>
      <c r="L10" s="19">
        <v>0</v>
      </c>
      <c r="M10" s="19">
        <v>0</v>
      </c>
      <c r="N10" s="19">
        <v>0</v>
      </c>
      <c r="O10" s="23">
        <v>0</v>
      </c>
    </row>
    <row r="11" spans="1:15">
      <c r="A11" s="29" t="s">
        <v>8</v>
      </c>
      <c r="B11" s="88">
        <v>18175.900000000001</v>
      </c>
      <c r="C11" s="81">
        <v>17307.5</v>
      </c>
      <c r="D11" s="81">
        <v>13896.4</v>
      </c>
      <c r="E11" s="81">
        <v>22755.4</v>
      </c>
      <c r="F11" s="81">
        <v>27720.799999999999</v>
      </c>
      <c r="G11" s="69">
        <v>30834.7</v>
      </c>
      <c r="I11" s="30" t="s">
        <v>70</v>
      </c>
      <c r="J11" s="20">
        <f t="shared" ref="J11:L11" si="4">J9+J10</f>
        <v>577.40000000000009</v>
      </c>
      <c r="K11" s="20">
        <f t="shared" si="4"/>
        <v>0</v>
      </c>
      <c r="L11" s="20">
        <f t="shared" si="4"/>
        <v>0</v>
      </c>
      <c r="M11" s="20">
        <f>M9+M10</f>
        <v>0</v>
      </c>
      <c r="N11" s="20">
        <f>N9+N10</f>
        <v>0</v>
      </c>
      <c r="O11" s="24">
        <f>O9+O10</f>
        <v>0</v>
      </c>
    </row>
    <row r="12" spans="1:15">
      <c r="A12" s="29" t="s">
        <v>25</v>
      </c>
      <c r="B12" s="87">
        <v>12858.8</v>
      </c>
      <c r="C12" s="81">
        <v>10030.1</v>
      </c>
      <c r="D12" s="81">
        <v>8912.2999999999993</v>
      </c>
      <c r="E12" s="81">
        <v>14200.2</v>
      </c>
      <c r="F12" s="85">
        <v>15362</v>
      </c>
      <c r="G12" s="69">
        <v>14942.5</v>
      </c>
      <c r="I12" s="30" t="s">
        <v>71</v>
      </c>
      <c r="J12" s="20">
        <f t="shared" ref="J12:N12" si="5">+J7+J8+J20+J21+J9+J19+J18</f>
        <v>27503.5</v>
      </c>
      <c r="K12" s="20">
        <f t="shared" si="5"/>
        <v>30076.5</v>
      </c>
      <c r="L12" s="20">
        <f t="shared" si="5"/>
        <v>32053.899999999998</v>
      </c>
      <c r="M12" s="20">
        <f t="shared" si="5"/>
        <v>37090.499999999993</v>
      </c>
      <c r="N12" s="20">
        <f t="shared" si="5"/>
        <v>43488.3</v>
      </c>
      <c r="O12" s="24">
        <f>+O7+O8+O20+O21+O9+O19+O18</f>
        <v>48613.600000000006</v>
      </c>
    </row>
    <row r="13" spans="1:15">
      <c r="A13" s="36" t="s">
        <v>26</v>
      </c>
      <c r="B13" s="73">
        <v>-2299.1999999999998</v>
      </c>
      <c r="C13" s="81">
        <v>158.30000000000001</v>
      </c>
      <c r="D13" s="81">
        <v>522.70000000000005</v>
      </c>
      <c r="E13" s="81">
        <v>-2331.6999999999998</v>
      </c>
      <c r="F13" s="85">
        <v>-559.5</v>
      </c>
      <c r="G13" s="69">
        <v>-749</v>
      </c>
      <c r="I13" s="30" t="s">
        <v>71</v>
      </c>
      <c r="J13" s="20">
        <f t="shared" ref="J13:O13" si="6">J62-J32-J10</f>
        <v>27503.399999999998</v>
      </c>
      <c r="K13" s="20">
        <f t="shared" si="6"/>
        <v>30076.100000000002</v>
      </c>
      <c r="L13" s="20">
        <f t="shared" si="6"/>
        <v>32053.9</v>
      </c>
      <c r="M13" s="20">
        <f t="shared" si="6"/>
        <v>37090.5</v>
      </c>
      <c r="N13" s="20">
        <f t="shared" si="6"/>
        <v>43488.399999999994</v>
      </c>
      <c r="O13" s="24">
        <f t="shared" si="6"/>
        <v>48613.599999999991</v>
      </c>
    </row>
    <row r="14" spans="1:15">
      <c r="A14" s="36" t="s">
        <v>27</v>
      </c>
      <c r="B14" s="19">
        <v>0</v>
      </c>
      <c r="C14" s="81"/>
      <c r="D14" s="86"/>
      <c r="E14" s="86"/>
      <c r="F14" s="85"/>
      <c r="G14" s="69"/>
      <c r="I14" s="27"/>
      <c r="J14" s="3"/>
      <c r="K14" s="3"/>
      <c r="L14" s="3"/>
      <c r="M14" s="3"/>
      <c r="N14" s="3"/>
      <c r="O14" s="28"/>
    </row>
    <row r="15" spans="1:15">
      <c r="A15" s="29" t="s">
        <v>9</v>
      </c>
      <c r="B15" s="19">
        <v>3178.6</v>
      </c>
      <c r="C15" s="81">
        <v>3451</v>
      </c>
      <c r="D15" s="81">
        <v>3535.5</v>
      </c>
      <c r="E15" s="81">
        <v>3952.2</v>
      </c>
      <c r="F15" s="85">
        <v>4305.8999999999996</v>
      </c>
      <c r="G15" s="69">
        <v>4619.3999999999996</v>
      </c>
      <c r="I15" s="27" t="s">
        <v>36</v>
      </c>
      <c r="J15" s="2"/>
      <c r="K15" s="45"/>
      <c r="L15" s="45"/>
      <c r="M15" s="46"/>
      <c r="N15" s="46"/>
      <c r="O15" s="47"/>
    </row>
    <row r="16" spans="1:15">
      <c r="A16" s="29" t="s">
        <v>10</v>
      </c>
      <c r="B16" s="19">
        <v>6304.6</v>
      </c>
      <c r="C16" s="81">
        <v>6322.8</v>
      </c>
      <c r="D16" s="81">
        <v>5390.3</v>
      </c>
      <c r="E16" s="81">
        <v>7313.6</v>
      </c>
      <c r="F16" s="85">
        <v>8901.1</v>
      </c>
      <c r="G16" s="69">
        <v>9649.5</v>
      </c>
      <c r="I16" s="29" t="s">
        <v>37</v>
      </c>
      <c r="J16" s="2"/>
      <c r="K16" s="45"/>
      <c r="L16" s="45"/>
      <c r="M16" s="46"/>
      <c r="N16" s="46"/>
      <c r="O16" s="47"/>
    </row>
    <row r="17" spans="1:15">
      <c r="A17" s="30" t="s">
        <v>11</v>
      </c>
      <c r="B17" s="20">
        <f t="shared" ref="B17:G17" si="7">B7-B10</f>
        <v>8304.4000000000015</v>
      </c>
      <c r="C17" s="20">
        <f t="shared" si="7"/>
        <v>6968.4000000000015</v>
      </c>
      <c r="D17" s="20">
        <f t="shared" si="7"/>
        <v>5964.2000000000044</v>
      </c>
      <c r="E17" s="20">
        <f t="shared" si="7"/>
        <v>10439.099999999999</v>
      </c>
      <c r="F17" s="20">
        <f t="shared" si="7"/>
        <v>13720.699999999997</v>
      </c>
      <c r="G17" s="24">
        <f t="shared" si="7"/>
        <v>14457.500000000007</v>
      </c>
      <c r="I17" s="29" t="s">
        <v>38</v>
      </c>
      <c r="J17" s="2"/>
      <c r="K17" s="45"/>
      <c r="L17" s="45"/>
      <c r="M17" s="46"/>
      <c r="N17" s="46"/>
      <c r="O17" s="47"/>
    </row>
    <row r="18" spans="1:15">
      <c r="A18" s="34" t="s">
        <v>5</v>
      </c>
      <c r="B18" s="35"/>
      <c r="C18" s="35">
        <f>+C17/B17-1</f>
        <v>-0.16087857039641629</v>
      </c>
      <c r="D18" s="35">
        <f t="shared" ref="D18" si="8">+D17/C17-1</f>
        <v>-0.14410768612593949</v>
      </c>
      <c r="E18" s="35">
        <f t="shared" ref="E18" si="9">+E17/D17-1</f>
        <v>0.7502934173904281</v>
      </c>
      <c r="F18" s="35">
        <f>+F17/E17-1</f>
        <v>0.31435660162274526</v>
      </c>
      <c r="G18" s="35">
        <f>+G17/F17-1</f>
        <v>5.3699884116700236E-2</v>
      </c>
      <c r="I18" s="29" t="s">
        <v>189</v>
      </c>
      <c r="J18" s="83">
        <v>0</v>
      </c>
      <c r="K18" s="84">
        <v>0</v>
      </c>
      <c r="L18" s="2">
        <v>566.20000000000005</v>
      </c>
      <c r="M18" s="2">
        <v>519</v>
      </c>
      <c r="N18" s="46">
        <v>473.6</v>
      </c>
      <c r="O18" s="111">
        <v>406.5</v>
      </c>
    </row>
    <row r="19" spans="1:15">
      <c r="A19" s="34" t="s">
        <v>6</v>
      </c>
      <c r="B19" s="40"/>
      <c r="C19" s="35"/>
      <c r="D19" s="35"/>
      <c r="E19" s="35">
        <f>+((E17/B17)^(1/3)-1)</f>
        <v>7.9240578426529096E-2</v>
      </c>
      <c r="F19" s="35">
        <f>+((F17/C17)^(1/3)-1)</f>
        <v>0.25337510847321054</v>
      </c>
      <c r="G19" s="35">
        <f>+((G17/D17)^(1/3)-1)</f>
        <v>0.3433226396804423</v>
      </c>
      <c r="I19" s="74" t="s">
        <v>45</v>
      </c>
      <c r="J19" s="2">
        <v>9.9</v>
      </c>
      <c r="K19" s="2">
        <v>33.5</v>
      </c>
      <c r="L19" s="2">
        <v>23.5</v>
      </c>
      <c r="M19" s="2">
        <v>23.1</v>
      </c>
      <c r="N19">
        <v>94.9</v>
      </c>
      <c r="O19" s="112">
        <v>108.8</v>
      </c>
    </row>
    <row r="20" spans="1:15">
      <c r="A20" s="30" t="s">
        <v>12</v>
      </c>
      <c r="B20" s="22">
        <f t="shared" ref="B20:F20" si="10">B17/B7</f>
        <v>0.1785005728337106</v>
      </c>
      <c r="C20" s="22">
        <f t="shared" si="10"/>
        <v>0.15752032750050299</v>
      </c>
      <c r="D20" s="22">
        <f t="shared" si="10"/>
        <v>0.15604347302819896</v>
      </c>
      <c r="E20" s="22">
        <f t="shared" si="10"/>
        <v>0.18532438113362965</v>
      </c>
      <c r="F20" s="22">
        <f t="shared" si="10"/>
        <v>0.19755943038977117</v>
      </c>
      <c r="G20" s="93">
        <f>G17/G7</f>
        <v>0.19602167186860217</v>
      </c>
      <c r="I20" s="29" t="s">
        <v>39</v>
      </c>
      <c r="J20" s="19">
        <v>383.6</v>
      </c>
      <c r="K20" s="19">
        <v>421.4</v>
      </c>
      <c r="L20" s="2">
        <v>61.3</v>
      </c>
      <c r="M20" s="2">
        <v>11.7</v>
      </c>
      <c r="N20" s="82">
        <v>60.8</v>
      </c>
      <c r="O20" s="113">
        <v>44.8</v>
      </c>
    </row>
    <row r="21" spans="1:15">
      <c r="A21" s="29" t="s">
        <v>13</v>
      </c>
      <c r="B21" s="19">
        <v>1485</v>
      </c>
      <c r="C21" s="19">
        <v>1587.1</v>
      </c>
      <c r="D21" s="73">
        <v>1939.7</v>
      </c>
      <c r="E21" s="73">
        <v>1971.1</v>
      </c>
      <c r="F21" s="69">
        <v>2064.6</v>
      </c>
      <c r="G21" s="71">
        <v>2230.1</v>
      </c>
      <c r="I21" s="29" t="s">
        <v>40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13">
        <v>0</v>
      </c>
    </row>
    <row r="22" spans="1:15">
      <c r="A22" s="29" t="s">
        <v>28</v>
      </c>
      <c r="B22" s="19">
        <v>70.400000000000006</v>
      </c>
      <c r="C22" s="19">
        <v>34.700000000000003</v>
      </c>
      <c r="D22">
        <v>52.4</v>
      </c>
      <c r="E22">
        <v>36.700000000000003</v>
      </c>
      <c r="F22" s="69">
        <v>35.5</v>
      </c>
      <c r="G22" s="71">
        <v>42.7</v>
      </c>
      <c r="I22" s="27" t="s">
        <v>41</v>
      </c>
      <c r="J22" s="18">
        <f t="shared" ref="J22:O22" si="11">SUM(J17:J21)</f>
        <v>393.5</v>
      </c>
      <c r="K22" s="18">
        <f t="shared" si="11"/>
        <v>454.9</v>
      </c>
      <c r="L22" s="18">
        <f t="shared" si="11"/>
        <v>651</v>
      </c>
      <c r="M22" s="18">
        <f t="shared" si="11"/>
        <v>553.80000000000007</v>
      </c>
      <c r="N22" s="18">
        <f t="shared" si="11"/>
        <v>629.29999999999995</v>
      </c>
      <c r="O22" s="97">
        <f t="shared" si="11"/>
        <v>560.09999999999991</v>
      </c>
    </row>
    <row r="23" spans="1:15">
      <c r="A23" t="s">
        <v>196</v>
      </c>
      <c r="B23" s="19">
        <v>432</v>
      </c>
      <c r="C23" s="19">
        <v>3.4</v>
      </c>
      <c r="D23" s="19"/>
      <c r="E23" s="19"/>
      <c r="F23" s="69">
        <v>149.80000000000001</v>
      </c>
      <c r="G23" s="71">
        <v>-47</v>
      </c>
      <c r="I23" s="27" t="s">
        <v>42</v>
      </c>
      <c r="J23" s="2"/>
      <c r="K23" s="45"/>
      <c r="L23" s="45"/>
      <c r="M23" s="46"/>
      <c r="N23" s="46"/>
      <c r="O23" s="47"/>
    </row>
    <row r="24" spans="1:15">
      <c r="A24" s="30" t="s">
        <v>15</v>
      </c>
      <c r="B24" s="20">
        <f>B17-B21-B22-B23</f>
        <v>6317.0000000000018</v>
      </c>
      <c r="C24" s="20">
        <f>C17-C21-C22-C23</f>
        <v>5343.2000000000016</v>
      </c>
      <c r="D24" s="20">
        <f t="shared" ref="D24" si="12">D17-D21-D22+D23</f>
        <v>3972.1000000000045</v>
      </c>
      <c r="E24" s="20">
        <f>E17-E21-E22+E23</f>
        <v>8431.2999999999975</v>
      </c>
      <c r="F24" s="20">
        <f>F17-F21-F22+F23</f>
        <v>11770.399999999996</v>
      </c>
      <c r="G24" s="24">
        <f>G17-G21-G22+G23</f>
        <v>12137.700000000006</v>
      </c>
      <c r="I24" s="29" t="s">
        <v>43</v>
      </c>
      <c r="J24" s="2"/>
      <c r="K24" s="45"/>
      <c r="L24" s="45"/>
      <c r="M24" s="46"/>
      <c r="N24" s="46"/>
      <c r="O24" s="47"/>
    </row>
    <row r="25" spans="1:15">
      <c r="A25" s="30"/>
      <c r="B25" s="20"/>
      <c r="C25" s="20"/>
      <c r="D25" s="20"/>
      <c r="E25" s="20"/>
      <c r="F25" s="20"/>
      <c r="G25" s="24"/>
      <c r="I25" s="29" t="s">
        <v>38</v>
      </c>
      <c r="J25" s="2"/>
      <c r="K25" s="45"/>
      <c r="L25" s="45"/>
      <c r="M25" s="46"/>
      <c r="N25" s="46"/>
      <c r="O25" s="47"/>
    </row>
    <row r="26" spans="1:15">
      <c r="A26" s="27" t="s">
        <v>31</v>
      </c>
      <c r="B26" s="18">
        <f t="shared" ref="B26:G26" si="13">SUM(B27:B28)</f>
        <v>2119</v>
      </c>
      <c r="C26" s="18">
        <f t="shared" si="13"/>
        <v>1666.3999999999999</v>
      </c>
      <c r="D26" s="18">
        <f t="shared" si="13"/>
        <v>1062.3999999999999</v>
      </c>
      <c r="E26" s="18">
        <f t="shared" si="13"/>
        <v>2140.1999999999998</v>
      </c>
      <c r="F26" s="70">
        <f t="shared" si="13"/>
        <v>2978.3</v>
      </c>
      <c r="G26" s="97">
        <f t="shared" si="13"/>
        <v>3147.5</v>
      </c>
      <c r="I26" s="29" t="s">
        <v>44</v>
      </c>
      <c r="J26" s="19">
        <v>7878</v>
      </c>
      <c r="K26" s="19">
        <f>4972.6+18.9</f>
        <v>4991.5</v>
      </c>
      <c r="L26" s="19">
        <v>7686.6</v>
      </c>
      <c r="M26" s="19">
        <v>9645.1</v>
      </c>
      <c r="N26" s="69">
        <f>1598.9+9518.4</f>
        <v>11117.3</v>
      </c>
      <c r="O26" s="113">
        <f>1526.3+9025.1</f>
        <v>10551.4</v>
      </c>
    </row>
    <row r="27" spans="1:15">
      <c r="A27" s="29" t="s">
        <v>29</v>
      </c>
      <c r="B27" s="19">
        <v>2251.5</v>
      </c>
      <c r="C27" s="19">
        <v>1594.6</v>
      </c>
      <c r="D27" s="76">
        <v>1179.0999999999999</v>
      </c>
      <c r="E27" s="76">
        <v>2187</v>
      </c>
      <c r="F27" s="69">
        <v>2973.5</v>
      </c>
      <c r="G27" s="71">
        <v>3199</v>
      </c>
      <c r="I27" s="29" t="s">
        <v>45</v>
      </c>
      <c r="J27" s="19">
        <v>1315.1</v>
      </c>
      <c r="K27" s="19">
        <v>1035.3</v>
      </c>
      <c r="L27" s="46">
        <v>979.9</v>
      </c>
      <c r="M27" s="46">
        <v>955.6</v>
      </c>
      <c r="N27" s="69">
        <v>1270.3</v>
      </c>
      <c r="O27" s="113">
        <v>2130.6</v>
      </c>
    </row>
    <row r="28" spans="1:15">
      <c r="A28" s="29" t="s">
        <v>30</v>
      </c>
      <c r="B28" s="19">
        <v>-132.5</v>
      </c>
      <c r="C28" s="19">
        <v>71.8</v>
      </c>
      <c r="D28" s="2">
        <v>-116.7</v>
      </c>
      <c r="E28" s="2">
        <v>-46.8</v>
      </c>
      <c r="F28" s="69">
        <v>4.8</v>
      </c>
      <c r="G28" s="71">
        <v>-51.5</v>
      </c>
      <c r="I28" s="29" t="s">
        <v>190</v>
      </c>
      <c r="J28" s="19">
        <v>0</v>
      </c>
      <c r="K28" s="19">
        <v>0</v>
      </c>
      <c r="L28" s="46">
        <v>84.7</v>
      </c>
      <c r="M28" s="46">
        <v>88</v>
      </c>
      <c r="N28" s="69">
        <v>100.2</v>
      </c>
      <c r="O28" s="113">
        <v>104.5</v>
      </c>
    </row>
    <row r="29" spans="1:15">
      <c r="A29" s="34" t="s">
        <v>16</v>
      </c>
      <c r="B29" s="72">
        <f t="shared" ref="B29:G29" si="14">B26/B24</f>
        <v>0.33544403989235388</v>
      </c>
      <c r="C29" s="72">
        <f t="shared" si="14"/>
        <v>0.31187303488546175</v>
      </c>
      <c r="D29" s="72">
        <f t="shared" si="14"/>
        <v>0.26746557236726132</v>
      </c>
      <c r="E29" s="72">
        <f t="shared" si="14"/>
        <v>0.25383985862203934</v>
      </c>
      <c r="F29" s="72">
        <f t="shared" si="14"/>
        <v>0.25303303201250604</v>
      </c>
      <c r="G29" s="94">
        <f t="shared" si="14"/>
        <v>0.25931601539006555</v>
      </c>
      <c r="I29" s="29" t="s">
        <v>46</v>
      </c>
      <c r="J29" s="19">
        <v>150.4</v>
      </c>
      <c r="K29" s="19">
        <v>133.19999999999999</v>
      </c>
      <c r="L29" s="46">
        <v>214.8</v>
      </c>
      <c r="M29" s="46">
        <v>313.2</v>
      </c>
      <c r="N29" s="69">
        <v>632.20000000000005</v>
      </c>
      <c r="O29" s="113">
        <v>440.5</v>
      </c>
    </row>
    <row r="30" spans="1:15">
      <c r="A30" s="30" t="s">
        <v>17</v>
      </c>
      <c r="B30" s="20">
        <f t="shared" ref="B30:G30" si="15">B24-B26</f>
        <v>4198.0000000000018</v>
      </c>
      <c r="C30" s="20">
        <f t="shared" si="15"/>
        <v>3676.800000000002</v>
      </c>
      <c r="D30" s="20">
        <f t="shared" si="15"/>
        <v>2909.7000000000044</v>
      </c>
      <c r="E30" s="20">
        <f t="shared" si="15"/>
        <v>6291.0999999999976</v>
      </c>
      <c r="F30" s="20">
        <f t="shared" si="15"/>
        <v>8792.0999999999949</v>
      </c>
      <c r="G30" s="24">
        <f t="shared" si="15"/>
        <v>8990.2000000000062</v>
      </c>
      <c r="I30" s="29" t="s">
        <v>47</v>
      </c>
      <c r="J30" s="19">
        <v>298</v>
      </c>
      <c r="K30" s="19">
        <v>186.2</v>
      </c>
      <c r="L30" s="46">
        <v>597.9</v>
      </c>
      <c r="M30" s="46">
        <v>665.9</v>
      </c>
      <c r="N30" s="69">
        <v>578.20000000000005</v>
      </c>
      <c r="O30" s="113">
        <v>685.7</v>
      </c>
    </row>
    <row r="31" spans="1:15">
      <c r="A31" s="30" t="s">
        <v>18</v>
      </c>
      <c r="B31" s="22">
        <f t="shared" ref="B31:G31" si="16">B30/B7</f>
        <v>9.0234743600490983E-2</v>
      </c>
      <c r="C31" s="22">
        <f t="shared" si="16"/>
        <v>8.3113876952219973E-2</v>
      </c>
      <c r="D31" s="22">
        <f t="shared" si="16"/>
        <v>7.6127509719685946E-2</v>
      </c>
      <c r="E31" s="22">
        <f t="shared" si="16"/>
        <v>0.1116853190552612</v>
      </c>
      <c r="F31" s="22">
        <f t="shared" si="16"/>
        <v>0.12659428949907123</v>
      </c>
      <c r="G31" s="93">
        <f t="shared" si="16"/>
        <v>0.12189341410569653</v>
      </c>
      <c r="I31" s="29" t="s">
        <v>48</v>
      </c>
      <c r="J31" s="19">
        <v>0</v>
      </c>
      <c r="K31" s="19">
        <v>29.6</v>
      </c>
      <c r="L31" s="46">
        <v>12.5</v>
      </c>
      <c r="M31" s="46">
        <v>204.4</v>
      </c>
      <c r="N31" s="69">
        <v>80.599999999999994</v>
      </c>
      <c r="O31" s="113">
        <v>138.80000000000001</v>
      </c>
    </row>
    <row r="32" spans="1:15">
      <c r="A32" s="30"/>
      <c r="B32" s="22"/>
      <c r="C32" s="22"/>
      <c r="D32" s="22"/>
      <c r="E32" s="22"/>
      <c r="F32" s="22"/>
      <c r="G32" s="68"/>
      <c r="I32" s="30" t="s">
        <v>49</v>
      </c>
      <c r="J32" s="20">
        <f t="shared" ref="J32:L32" si="17">SUM(J25:J31)</f>
        <v>9641.5</v>
      </c>
      <c r="K32" s="20">
        <f t="shared" si="17"/>
        <v>6375.8</v>
      </c>
      <c r="L32" s="20">
        <f t="shared" si="17"/>
        <v>9576.4</v>
      </c>
      <c r="M32" s="20">
        <f>SUM(M25:M31)</f>
        <v>11872.2</v>
      </c>
      <c r="N32" s="20">
        <f>SUM(N25:N31)</f>
        <v>13778.800000000001</v>
      </c>
      <c r="O32" s="24">
        <f>SUM(O25:O31)</f>
        <v>14051.5</v>
      </c>
    </row>
    <row r="33" spans="1:18">
      <c r="A33" s="29" t="s">
        <v>19</v>
      </c>
      <c r="B33" s="19"/>
      <c r="C33" s="19"/>
      <c r="D33" s="19"/>
      <c r="E33" s="19"/>
      <c r="F33" s="69"/>
      <c r="G33" s="71"/>
      <c r="I33" s="30" t="s">
        <v>50</v>
      </c>
      <c r="J33" s="20">
        <f t="shared" ref="J33:O33" si="18">+J32+J22+J11+J7+J8</f>
        <v>37673.699999999997</v>
      </c>
      <c r="K33" s="20">
        <f t="shared" si="18"/>
        <v>36452.299999999996</v>
      </c>
      <c r="L33" s="20">
        <f t="shared" si="18"/>
        <v>41630.299999999996</v>
      </c>
      <c r="M33" s="20">
        <f t="shared" si="18"/>
        <v>48962.7</v>
      </c>
      <c r="N33" s="20">
        <f t="shared" si="18"/>
        <v>57267.1</v>
      </c>
      <c r="O33" s="24">
        <f t="shared" si="18"/>
        <v>62665.1</v>
      </c>
    </row>
    <row r="34" spans="1:18">
      <c r="A34" s="29" t="s">
        <v>32</v>
      </c>
      <c r="B34" s="19"/>
      <c r="C34" s="19"/>
      <c r="D34" s="19"/>
      <c r="E34" s="19"/>
      <c r="F34" s="69"/>
      <c r="G34" s="71"/>
      <c r="I34" s="27" t="s">
        <v>66</v>
      </c>
      <c r="J34" s="2"/>
      <c r="K34" s="2"/>
      <c r="L34" s="2"/>
      <c r="M34" s="2"/>
      <c r="N34" s="2"/>
      <c r="O34" s="51"/>
    </row>
    <row r="35" spans="1:18">
      <c r="A35" s="29" t="s">
        <v>20</v>
      </c>
      <c r="B35" s="19">
        <f>0.506+0.0175</f>
        <v>0.52349999999999997</v>
      </c>
      <c r="C35" s="19">
        <f>8.3+75.5-28.4-42.8</f>
        <v>12.600000000000001</v>
      </c>
      <c r="D35" s="19">
        <f>-1.719+0.328</f>
        <v>-1.391</v>
      </c>
      <c r="E35" s="19">
        <f>-1.719+0.328</f>
        <v>-1.391</v>
      </c>
      <c r="F35" s="69">
        <f>41.5-10.5</f>
        <v>31</v>
      </c>
      <c r="G35" s="71">
        <f>-59.3+14.9</f>
        <v>-44.4</v>
      </c>
      <c r="I35" s="29" t="s">
        <v>51</v>
      </c>
      <c r="J35" s="19">
        <v>7303.8</v>
      </c>
      <c r="K35" s="19">
        <v>8943.4</v>
      </c>
      <c r="L35" s="76">
        <v>9258.6</v>
      </c>
      <c r="M35" s="76">
        <v>9960</v>
      </c>
      <c r="N35" s="19">
        <v>10190.700000000001</v>
      </c>
      <c r="O35" s="113">
        <v>11851.2</v>
      </c>
    </row>
    <row r="36" spans="1:18">
      <c r="A36" s="30" t="s">
        <v>21</v>
      </c>
      <c r="B36" s="20">
        <f t="shared" ref="B36:D36" si="19">B30+SUM(B33:B35)</f>
        <v>4198.5235000000021</v>
      </c>
      <c r="C36" s="20">
        <f t="shared" si="19"/>
        <v>3689.4000000000019</v>
      </c>
      <c r="D36" s="20">
        <f t="shared" si="19"/>
        <v>2908.3090000000043</v>
      </c>
      <c r="E36" s="20">
        <f>E30+SUM(E33:E35)</f>
        <v>6289.708999999998</v>
      </c>
      <c r="F36" s="20">
        <f>F30+SUM(F33:F35)</f>
        <v>8823.0999999999949</v>
      </c>
      <c r="G36" s="24">
        <f>G30+SUM(G33:G35)</f>
        <v>8945.8000000000065</v>
      </c>
      <c r="I36" s="29" t="s">
        <v>52</v>
      </c>
      <c r="J36" s="19">
        <v>1617.2</v>
      </c>
      <c r="K36" s="19">
        <v>1662</v>
      </c>
      <c r="L36" s="76">
        <v>1604.1</v>
      </c>
      <c r="M36" s="2">
        <v>892.3</v>
      </c>
      <c r="N36" s="19">
        <v>2493.4</v>
      </c>
      <c r="O36" s="113">
        <v>4907.7</v>
      </c>
    </row>
    <row r="37" spans="1:18">
      <c r="A37" s="34" t="s">
        <v>5</v>
      </c>
      <c r="B37" s="21"/>
      <c r="C37" s="21">
        <f>C36/B36-1</f>
        <v>-0.12126251049922665</v>
      </c>
      <c r="D37" s="21">
        <f t="shared" ref="D37" si="20">D36/C36-1</f>
        <v>-0.2117122025261553</v>
      </c>
      <c r="E37" s="21">
        <f t="shared" ref="E37" si="21">E36/D36-1</f>
        <v>1.1626687535609141</v>
      </c>
      <c r="F37" s="21">
        <f>F36/E36-1</f>
        <v>0.40278349920481182</v>
      </c>
      <c r="G37" s="21">
        <f>G36/F36-1</f>
        <v>1.3906676791605177E-2</v>
      </c>
      <c r="I37" s="29" t="s">
        <v>182</v>
      </c>
      <c r="J37" s="19">
        <v>0</v>
      </c>
      <c r="K37" s="19">
        <v>0</v>
      </c>
      <c r="L37" s="2">
        <v>798.3</v>
      </c>
      <c r="M37" s="2">
        <v>724.8</v>
      </c>
      <c r="N37" s="19">
        <v>1030.7</v>
      </c>
      <c r="O37" s="113">
        <v>951.6</v>
      </c>
    </row>
    <row r="38" spans="1:18">
      <c r="A38" s="34" t="s">
        <v>22</v>
      </c>
      <c r="B38" s="32"/>
      <c r="C38" s="35"/>
      <c r="D38" s="35"/>
      <c r="E38" s="35">
        <f>+((E36/B36)^(1/3)-1)</f>
        <v>0.14422470785892427</v>
      </c>
      <c r="F38" s="35">
        <f>+((F36/C36)^(1/3)-1)</f>
        <v>0.33727836769542163</v>
      </c>
      <c r="G38" s="35">
        <f>+((G36/D36)^(1/3)-1)</f>
        <v>0.4543185570700552</v>
      </c>
      <c r="I38" s="29" t="s">
        <v>208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13">
        <v>822.3</v>
      </c>
    </row>
    <row r="39" spans="1:18">
      <c r="A39" s="27" t="s">
        <v>23</v>
      </c>
      <c r="B39" s="3">
        <f>(B30/B61)*1000000</f>
        <v>26.857974608017852</v>
      </c>
      <c r="C39" s="115">
        <f t="shared" ref="C39:E39" si="22">(C30/C61)*1000000</f>
        <v>23.52343998064794</v>
      </c>
      <c r="D39" s="115">
        <f t="shared" si="22"/>
        <v>18.615685735338168</v>
      </c>
      <c r="E39" s="115">
        <f t="shared" si="22"/>
        <v>40.249214877680082</v>
      </c>
      <c r="F39" s="3">
        <f>(F30/F61)*1000000</f>
        <v>56.250118759207602</v>
      </c>
      <c r="G39" s="96">
        <f>(G30/G61)*1000000</f>
        <v>57.517523420915239</v>
      </c>
      <c r="I39" s="29" t="s">
        <v>185</v>
      </c>
      <c r="J39" s="19">
        <v>3.2</v>
      </c>
      <c r="K39" s="19">
        <v>2.5</v>
      </c>
      <c r="L39" s="2">
        <v>1.5</v>
      </c>
      <c r="M39" s="2">
        <v>12.2</v>
      </c>
      <c r="N39" s="19">
        <v>5.7</v>
      </c>
      <c r="O39" s="113">
        <v>786.8</v>
      </c>
    </row>
    <row r="40" spans="1:18">
      <c r="A40" s="37" t="s">
        <v>5</v>
      </c>
      <c r="B40" s="35">
        <f>B36/B61</f>
        <v>2.6861323857590816E-5</v>
      </c>
      <c r="C40" s="35">
        <f>+C39/B39-1</f>
        <v>-0.12415435921867546</v>
      </c>
      <c r="D40" s="35">
        <f t="shared" ref="D40" si="23">+D39/C39-1</f>
        <v>-0.20863250652741439</v>
      </c>
      <c r="E40" s="35">
        <f t="shared" ref="E40" si="24">+E39/D39-1</f>
        <v>1.1621129326047317</v>
      </c>
      <c r="F40" s="35">
        <f>+F39/E39-1</f>
        <v>0.39754573921889613</v>
      </c>
      <c r="G40" s="35">
        <f>+G39/F39-1</f>
        <v>2.2531590859977912E-2</v>
      </c>
      <c r="I40" s="29" t="s">
        <v>186</v>
      </c>
      <c r="J40" s="19"/>
      <c r="K40" s="19"/>
      <c r="L40" s="19"/>
      <c r="M40" s="76">
        <v>1251.8</v>
      </c>
      <c r="N40" s="19">
        <f>133.6+1034.5</f>
        <v>1168.0999999999999</v>
      </c>
      <c r="O40" s="113">
        <f>150.3+5</f>
        <v>155.30000000000001</v>
      </c>
    </row>
    <row r="41" spans="1:18" ht="15.75" thickBot="1">
      <c r="A41" s="38" t="s">
        <v>22</v>
      </c>
      <c r="B41" s="33"/>
      <c r="C41" s="39"/>
      <c r="D41" s="39"/>
      <c r="E41" s="39">
        <f>+((E39/B39)^(1/3)-1)</f>
        <v>0.14435661593390159</v>
      </c>
      <c r="F41" s="39">
        <f>+((F39/C39)^(1/3)-1)</f>
        <v>0.33723439128697486</v>
      </c>
      <c r="G41" s="39">
        <f>+((G39/D39)^(1/3)-1)</f>
        <v>0.45648845477787781</v>
      </c>
      <c r="I41" s="29" t="s">
        <v>195</v>
      </c>
      <c r="J41" s="19">
        <v>0</v>
      </c>
      <c r="K41" s="19">
        <v>95.4</v>
      </c>
      <c r="L41" s="2">
        <v>96.3</v>
      </c>
      <c r="M41" s="19">
        <v>0</v>
      </c>
      <c r="N41" s="19">
        <v>0</v>
      </c>
      <c r="O41" s="23"/>
    </row>
    <row r="42" spans="1:18">
      <c r="I42" s="29" t="s">
        <v>54</v>
      </c>
      <c r="J42" s="19">
        <v>591.9</v>
      </c>
      <c r="K42" s="19">
        <v>1391.4</v>
      </c>
      <c r="L42" s="2">
        <v>763.5</v>
      </c>
      <c r="M42" s="19">
        <v>0</v>
      </c>
      <c r="N42" s="19">
        <v>0</v>
      </c>
      <c r="O42" s="23"/>
    </row>
    <row r="43" spans="1:18">
      <c r="I43" s="29" t="s">
        <v>165</v>
      </c>
      <c r="J43" s="19"/>
      <c r="K43" s="19"/>
      <c r="L43" s="19"/>
      <c r="M43" s="19"/>
      <c r="N43" s="19"/>
      <c r="O43" s="23"/>
    </row>
    <row r="44" spans="1:18" ht="15.75" thickBot="1">
      <c r="A44" s="101" t="s">
        <v>93</v>
      </c>
      <c r="B44" s="101"/>
      <c r="C44" s="101"/>
      <c r="D44" s="101"/>
      <c r="E44" s="101"/>
      <c r="F44" s="101"/>
      <c r="G44" s="101"/>
      <c r="I44" s="29" t="s">
        <v>187</v>
      </c>
      <c r="J44" s="19">
        <v>301.5</v>
      </c>
      <c r="K44" s="19">
        <v>660.5</v>
      </c>
      <c r="L44" s="2">
        <v>481.4</v>
      </c>
      <c r="M44" s="2">
        <v>650.4</v>
      </c>
      <c r="N44" s="19">
        <v>1150.4000000000001</v>
      </c>
      <c r="O44" s="113">
        <v>1100.3</v>
      </c>
      <c r="R44" s="92"/>
    </row>
    <row r="45" spans="1:18">
      <c r="A45" s="1" t="s">
        <v>1</v>
      </c>
      <c r="B45" s="50" t="s">
        <v>201</v>
      </c>
      <c r="C45" s="50" t="s">
        <v>200</v>
      </c>
      <c r="D45" s="75" t="s">
        <v>199</v>
      </c>
      <c r="E45" s="75" t="s">
        <v>198</v>
      </c>
      <c r="F45" s="59" t="s">
        <v>197</v>
      </c>
      <c r="G45" s="62" t="s">
        <v>206</v>
      </c>
      <c r="I45" s="29" t="s">
        <v>188</v>
      </c>
      <c r="J45" s="19">
        <v>893.5</v>
      </c>
      <c r="K45" s="19">
        <v>814.8</v>
      </c>
      <c r="L45" s="76">
        <v>1002.9</v>
      </c>
      <c r="M45" s="2">
        <v>913.2</v>
      </c>
      <c r="N45" s="19">
        <v>962.2</v>
      </c>
      <c r="O45" s="113">
        <v>779.1</v>
      </c>
    </row>
    <row r="46" spans="1:18">
      <c r="A46" s="1" t="s">
        <v>94</v>
      </c>
      <c r="B46" s="19">
        <v>1403.4</v>
      </c>
      <c r="C46" s="19">
        <f>B52</f>
        <v>1424.9</v>
      </c>
      <c r="D46" s="69">
        <f t="shared" ref="D46:G46" si="25">C52</f>
        <v>1159</v>
      </c>
      <c r="E46" s="69">
        <f t="shared" si="25"/>
        <v>2107.7999999999993</v>
      </c>
      <c r="F46" s="19">
        <f t="shared" si="25"/>
        <v>2069.7999999999993</v>
      </c>
      <c r="G46" s="69">
        <f t="shared" si="25"/>
        <v>1660.1999999999998</v>
      </c>
      <c r="I46" s="29" t="s">
        <v>194</v>
      </c>
      <c r="J46" s="19">
        <v>324.89999999999998</v>
      </c>
      <c r="K46" s="19">
        <v>235</v>
      </c>
      <c r="L46" s="2">
        <v>363.2</v>
      </c>
      <c r="M46" s="2">
        <v>399.8</v>
      </c>
      <c r="N46" s="19">
        <v>384.5</v>
      </c>
      <c r="O46" s="113">
        <v>249.2</v>
      </c>
    </row>
    <row r="47" spans="1:18">
      <c r="A47" s="1" t="s">
        <v>95</v>
      </c>
      <c r="B47" s="19">
        <v>2382</v>
      </c>
      <c r="C47" s="19">
        <v>5097.7</v>
      </c>
      <c r="D47" s="76">
        <v>6491.9</v>
      </c>
      <c r="E47" s="76">
        <v>4646.7</v>
      </c>
      <c r="F47" s="19">
        <v>7505.3</v>
      </c>
      <c r="G47" s="69">
        <v>8844.6</v>
      </c>
      <c r="I47" s="30" t="s">
        <v>55</v>
      </c>
      <c r="J47" s="20">
        <f t="shared" ref="J47:L47" si="26">SUM(J35:J46)</f>
        <v>11036</v>
      </c>
      <c r="K47" s="20">
        <f t="shared" si="26"/>
        <v>13804.999999999998</v>
      </c>
      <c r="L47" s="20">
        <f t="shared" si="26"/>
        <v>14369.8</v>
      </c>
      <c r="M47" s="20">
        <f>SUM(M35:M46)</f>
        <v>14804.499999999998</v>
      </c>
      <c r="N47" s="20">
        <f t="shared" ref="N47:O47" si="27">SUM(N35:N46)</f>
        <v>17385.7</v>
      </c>
      <c r="O47" s="24">
        <f t="shared" si="27"/>
        <v>21603.499999999996</v>
      </c>
    </row>
    <row r="48" spans="1:18">
      <c r="A48" s="2" t="s">
        <v>96</v>
      </c>
      <c r="B48" s="19">
        <v>-1833.7</v>
      </c>
      <c r="C48" s="19">
        <v>-3657.7</v>
      </c>
      <c r="D48" s="76">
        <v>-4324.6000000000004</v>
      </c>
      <c r="E48" s="76">
        <v>-3416.2</v>
      </c>
      <c r="F48" s="19">
        <v>-5345.4</v>
      </c>
      <c r="G48" s="69">
        <f>-5950.1+2.5</f>
        <v>-5947.6</v>
      </c>
      <c r="I48" s="27" t="s">
        <v>56</v>
      </c>
      <c r="J48" s="2"/>
      <c r="K48" s="45"/>
      <c r="L48" s="45"/>
      <c r="M48" s="46"/>
      <c r="N48" s="46"/>
      <c r="O48" s="47"/>
    </row>
    <row r="49" spans="1:15">
      <c r="A49" s="2" t="s">
        <v>97</v>
      </c>
      <c r="B49" s="19">
        <v>-526.79999999999995</v>
      </c>
      <c r="C49" s="19">
        <v>-1705.9</v>
      </c>
      <c r="D49" s="76">
        <v>-1218.5</v>
      </c>
      <c r="E49" s="76">
        <v>-1268.5</v>
      </c>
      <c r="F49" s="19">
        <v>-2569.5</v>
      </c>
      <c r="G49" s="69">
        <v>-3860.3</v>
      </c>
      <c r="I49" s="29" t="s">
        <v>57</v>
      </c>
      <c r="J49" s="19">
        <v>9100.7000000000007</v>
      </c>
      <c r="K49" s="19">
        <v>7204.9</v>
      </c>
      <c r="L49" s="73">
        <v>7136.3</v>
      </c>
      <c r="M49" s="19">
        <v>10864.9</v>
      </c>
      <c r="N49" s="19">
        <v>12433.7</v>
      </c>
      <c r="O49" s="113">
        <v>13156.1</v>
      </c>
    </row>
    <row r="50" spans="1:15">
      <c r="A50" s="1" t="s">
        <v>98</v>
      </c>
      <c r="B50" s="18">
        <f t="shared" ref="B50:G50" si="28">+B47+B48+B49</f>
        <v>21.5</v>
      </c>
      <c r="C50" s="18">
        <f t="shared" si="28"/>
        <v>-265.90000000000009</v>
      </c>
      <c r="D50" s="18">
        <f>+D47+D48+D49</f>
        <v>948.79999999999927</v>
      </c>
      <c r="E50" s="18">
        <f t="shared" si="28"/>
        <v>-38</v>
      </c>
      <c r="F50" s="18">
        <f t="shared" si="28"/>
        <v>-409.59999999999945</v>
      </c>
      <c r="G50" s="70">
        <f t="shared" si="28"/>
        <v>-963.30000000000018</v>
      </c>
      <c r="I50" s="29" t="s">
        <v>58</v>
      </c>
      <c r="J50" s="19"/>
      <c r="K50" s="19"/>
      <c r="L50" s="19"/>
      <c r="M50" s="19"/>
      <c r="N50" s="19"/>
      <c r="O50" s="23"/>
    </row>
    <row r="51" spans="1:15">
      <c r="A51" s="1" t="s">
        <v>203</v>
      </c>
      <c r="B51" s="18"/>
      <c r="C51" s="18"/>
      <c r="D51" s="18"/>
      <c r="E51" s="18"/>
      <c r="F51" s="18"/>
      <c r="G51" s="70"/>
      <c r="I51" s="29" t="s">
        <v>53</v>
      </c>
      <c r="J51" s="19">
        <v>0</v>
      </c>
      <c r="K51" s="19">
        <v>0</v>
      </c>
      <c r="L51" s="19">
        <v>0</v>
      </c>
      <c r="M51" s="19">
        <v>0</v>
      </c>
      <c r="N51" s="19"/>
      <c r="O51" s="23"/>
    </row>
    <row r="52" spans="1:15">
      <c r="A52" s="63" t="s">
        <v>99</v>
      </c>
      <c r="B52" s="20">
        <f t="shared" ref="B52:G52" si="29">+B46+B50</f>
        <v>1424.9</v>
      </c>
      <c r="C52" s="20">
        <f t="shared" si="29"/>
        <v>1159</v>
      </c>
      <c r="D52" s="20">
        <f t="shared" si="29"/>
        <v>2107.7999999999993</v>
      </c>
      <c r="E52" s="20">
        <f t="shared" si="29"/>
        <v>2069.7999999999993</v>
      </c>
      <c r="F52" s="20">
        <f t="shared" si="29"/>
        <v>1660.1999999999998</v>
      </c>
      <c r="G52" s="20">
        <f t="shared" si="29"/>
        <v>696.89999999999964</v>
      </c>
      <c r="I52" s="29" t="s">
        <v>59</v>
      </c>
      <c r="J52" s="19">
        <v>7513.3</v>
      </c>
      <c r="K52" s="19">
        <v>6319.4</v>
      </c>
      <c r="L52" s="19">
        <v>6917.2</v>
      </c>
      <c r="M52" s="19">
        <v>8462.7000000000007</v>
      </c>
      <c r="N52" s="19">
        <v>10324.1</v>
      </c>
      <c r="O52" s="113">
        <v>10555.9</v>
      </c>
    </row>
    <row r="53" spans="1:15" ht="15.75" thickBot="1">
      <c r="I53" s="29" t="s">
        <v>60</v>
      </c>
      <c r="J53" s="19">
        <v>1425</v>
      </c>
      <c r="K53" s="19">
        <v>1159.0999999999999</v>
      </c>
      <c r="L53" s="19">
        <v>2108</v>
      </c>
      <c r="M53" s="19">
        <v>2070</v>
      </c>
      <c r="N53" s="19">
        <v>1660.4</v>
      </c>
      <c r="O53" s="113">
        <v>697.1</v>
      </c>
    </row>
    <row r="54" spans="1:15" ht="15.75" thickBot="1">
      <c r="A54" s="102" t="s">
        <v>100</v>
      </c>
      <c r="B54" s="103"/>
      <c r="C54" s="103"/>
      <c r="D54" s="103"/>
      <c r="E54" s="103"/>
      <c r="F54" s="103"/>
      <c r="G54" s="104"/>
      <c r="I54" s="29" t="s">
        <v>61</v>
      </c>
      <c r="J54" s="19">
        <v>7051</v>
      </c>
      <c r="K54" s="19">
        <v>7194.5</v>
      </c>
      <c r="L54" s="19">
        <v>10351</v>
      </c>
      <c r="M54" s="19">
        <v>12086.7</v>
      </c>
      <c r="N54" s="19">
        <v>13884.9</v>
      </c>
      <c r="O54" s="113">
        <v>15159.5</v>
      </c>
    </row>
    <row r="55" spans="1:15">
      <c r="A55" s="64" t="s">
        <v>1</v>
      </c>
      <c r="B55" s="50" t="s">
        <v>201</v>
      </c>
      <c r="C55" s="50" t="s">
        <v>200</v>
      </c>
      <c r="D55" s="75" t="s">
        <v>199</v>
      </c>
      <c r="E55" s="75" t="s">
        <v>198</v>
      </c>
      <c r="F55" s="59" t="s">
        <v>197</v>
      </c>
      <c r="G55" s="62" t="s">
        <v>206</v>
      </c>
      <c r="I55" s="29" t="s">
        <v>184</v>
      </c>
      <c r="J55" s="19">
        <v>35.6</v>
      </c>
      <c r="K55" s="19">
        <v>78.400000000000006</v>
      </c>
      <c r="L55" s="19">
        <v>49.9</v>
      </c>
      <c r="M55" s="19"/>
      <c r="N55" s="19"/>
      <c r="O55" s="23"/>
    </row>
    <row r="56" spans="1:15">
      <c r="A56" s="27" t="s">
        <v>101</v>
      </c>
      <c r="B56" s="19">
        <f>B47</f>
        <v>2382</v>
      </c>
      <c r="C56" s="19">
        <f>C47</f>
        <v>5097.7</v>
      </c>
      <c r="D56" s="19">
        <f>D47</f>
        <v>6491.9</v>
      </c>
      <c r="E56" s="19">
        <f>+E47</f>
        <v>4646.7</v>
      </c>
      <c r="F56" s="19">
        <f>+F47</f>
        <v>7505.3</v>
      </c>
      <c r="G56" s="19">
        <f>+G47</f>
        <v>8844.6</v>
      </c>
      <c r="I56" s="29" t="s">
        <v>183</v>
      </c>
      <c r="J56" s="19">
        <v>346.3</v>
      </c>
      <c r="K56" s="19">
        <v>244.2</v>
      </c>
      <c r="L56" s="19">
        <v>173.9</v>
      </c>
      <c r="M56" s="19">
        <v>161.9</v>
      </c>
      <c r="N56" s="19">
        <v>365.1</v>
      </c>
      <c r="O56" s="113">
        <v>410.1</v>
      </c>
    </row>
    <row r="57" spans="1:15">
      <c r="A57" s="29" t="s">
        <v>102</v>
      </c>
      <c r="B57" s="19">
        <v>-191.67</v>
      </c>
      <c r="C57" s="19">
        <v>-244.65700000000001</v>
      </c>
      <c r="D57" s="19">
        <v>-865.51700000000005</v>
      </c>
      <c r="E57" s="19">
        <f>K35-L35+E21</f>
        <v>1655.8999999999992</v>
      </c>
      <c r="F57" s="19">
        <f>-4830.4+42.4</f>
        <v>-4788</v>
      </c>
      <c r="G57" s="19">
        <f>2593.4-80.4</f>
        <v>2513</v>
      </c>
      <c r="I57" s="29" t="s">
        <v>62</v>
      </c>
      <c r="J57" s="19">
        <v>1165.7</v>
      </c>
      <c r="K57" s="19">
        <v>446.4</v>
      </c>
      <c r="L57" s="19">
        <v>524.20000000000005</v>
      </c>
      <c r="M57" s="19">
        <v>512</v>
      </c>
      <c r="N57" s="19">
        <v>864.6</v>
      </c>
      <c r="O57" s="113">
        <v>1082.9000000000001</v>
      </c>
    </row>
    <row r="58" spans="1:15" ht="15.75" thickBot="1">
      <c r="A58" s="60" t="s">
        <v>103</v>
      </c>
      <c r="B58" s="41">
        <f t="shared" ref="B58:D58" si="30">+B56+B57</f>
        <v>2190.33</v>
      </c>
      <c r="C58" s="41">
        <f t="shared" si="30"/>
        <v>4853.0429999999997</v>
      </c>
      <c r="D58" s="41">
        <f t="shared" si="30"/>
        <v>5626.3829999999998</v>
      </c>
      <c r="E58" s="41">
        <f t="shared" ref="E58:G58" si="31">+E56+E57</f>
        <v>6302.5999999999985</v>
      </c>
      <c r="F58" s="41">
        <f t="shared" si="31"/>
        <v>2717.3</v>
      </c>
      <c r="G58" s="41">
        <f t="shared" si="31"/>
        <v>11357.6</v>
      </c>
      <c r="I58" s="29" t="s">
        <v>63</v>
      </c>
      <c r="J58" s="19"/>
      <c r="K58" s="19"/>
      <c r="L58" s="19">
        <v>0</v>
      </c>
      <c r="M58" s="19">
        <v>0</v>
      </c>
      <c r="N58" s="19"/>
      <c r="O58" s="23"/>
    </row>
    <row r="59" spans="1:15" ht="15.75" thickBot="1">
      <c r="I59" s="29" t="s">
        <v>202</v>
      </c>
      <c r="J59" s="19">
        <v>0</v>
      </c>
      <c r="K59" s="19">
        <v>0</v>
      </c>
      <c r="L59" s="19">
        <v>0</v>
      </c>
      <c r="M59" s="19">
        <v>0</v>
      </c>
      <c r="N59" s="19">
        <v>348.7</v>
      </c>
      <c r="O59" s="23"/>
    </row>
    <row r="60" spans="1:15" ht="15.75" thickBot="1">
      <c r="A60" s="67" t="s">
        <v>174</v>
      </c>
      <c r="B60" s="77" t="s">
        <v>201</v>
      </c>
      <c r="C60" s="77" t="s">
        <v>200</v>
      </c>
      <c r="D60" s="78" t="s">
        <v>199</v>
      </c>
      <c r="E60" s="78" t="s">
        <v>198</v>
      </c>
      <c r="F60" s="77" t="s">
        <v>197</v>
      </c>
      <c r="G60" s="79" t="s">
        <v>206</v>
      </c>
      <c r="I60" s="30" t="s">
        <v>64</v>
      </c>
      <c r="J60" s="20">
        <f>SUM(J49:J58)</f>
        <v>26637.599999999999</v>
      </c>
      <c r="K60" s="20">
        <f>SUM(K49:K58)</f>
        <v>22646.900000000005</v>
      </c>
      <c r="L60" s="20">
        <f>SUM(L49:L58)</f>
        <v>27260.500000000004</v>
      </c>
      <c r="M60" s="20">
        <f>SUM(M49:M58)</f>
        <v>34158.200000000004</v>
      </c>
      <c r="N60" s="20">
        <f>SUM(N49:N59)</f>
        <v>39881.5</v>
      </c>
      <c r="O60" s="24">
        <f>SUM(O49:O58)</f>
        <v>41061.599999999999</v>
      </c>
    </row>
    <row r="61" spans="1:15">
      <c r="A61" s="65" t="s">
        <v>104</v>
      </c>
      <c r="B61" s="87">
        <v>156303670</v>
      </c>
      <c r="C61" s="87">
        <v>156303670</v>
      </c>
      <c r="D61" s="87">
        <v>156303670</v>
      </c>
      <c r="E61" s="87">
        <v>156303670</v>
      </c>
      <c r="F61" s="80">
        <v>156303670</v>
      </c>
      <c r="G61" s="66">
        <v>156303670</v>
      </c>
      <c r="I61" s="30" t="s">
        <v>109</v>
      </c>
      <c r="J61" s="20">
        <f t="shared" ref="J61:O61" si="32">J60-J32</f>
        <v>16996.099999999999</v>
      </c>
      <c r="K61" s="20">
        <f t="shared" si="32"/>
        <v>16271.100000000006</v>
      </c>
      <c r="L61" s="20">
        <f t="shared" si="32"/>
        <v>17684.100000000006</v>
      </c>
      <c r="M61" s="20">
        <f t="shared" si="32"/>
        <v>22286.000000000004</v>
      </c>
      <c r="N61" s="20">
        <f t="shared" si="32"/>
        <v>26102.699999999997</v>
      </c>
      <c r="O61" s="24">
        <f t="shared" si="32"/>
        <v>27010.1</v>
      </c>
    </row>
    <row r="62" spans="1:15">
      <c r="A62" s="29" t="s">
        <v>105</v>
      </c>
      <c r="B62" s="19">
        <f t="shared" ref="B62:G62" si="33">B61*J67/1000000</f>
        <v>177912.6523775</v>
      </c>
      <c r="C62" s="19">
        <f t="shared" si="33"/>
        <v>146876.99566229997</v>
      </c>
      <c r="D62" s="19">
        <f t="shared" si="33"/>
        <v>141878.40429570002</v>
      </c>
      <c r="E62" s="19">
        <f t="shared" si="33"/>
        <v>274795.91919030005</v>
      </c>
      <c r="F62" s="19">
        <f t="shared" si="33"/>
        <v>428975.42231499997</v>
      </c>
      <c r="G62" s="19">
        <f t="shared" si="33"/>
        <v>500515.612074</v>
      </c>
      <c r="I62" s="30" t="s">
        <v>65</v>
      </c>
      <c r="J62" s="20">
        <f t="shared" ref="J62:O62" si="34">SUM(J47,J60)</f>
        <v>37673.599999999999</v>
      </c>
      <c r="K62" s="20">
        <f t="shared" si="34"/>
        <v>36451.9</v>
      </c>
      <c r="L62" s="20">
        <f t="shared" si="34"/>
        <v>41630.300000000003</v>
      </c>
      <c r="M62" s="20">
        <f t="shared" si="34"/>
        <v>48962.700000000004</v>
      </c>
      <c r="N62" s="20">
        <f t="shared" si="34"/>
        <v>57267.199999999997</v>
      </c>
      <c r="O62" s="24">
        <f t="shared" si="34"/>
        <v>62665.099999999991</v>
      </c>
    </row>
    <row r="63" spans="1:15" ht="15.75" thickBot="1">
      <c r="A63" s="29" t="s">
        <v>106</v>
      </c>
      <c r="B63" s="19">
        <f t="shared" ref="B63:G63" si="35">J11</f>
        <v>577.40000000000009</v>
      </c>
      <c r="C63" s="19">
        <f t="shared" si="35"/>
        <v>0</v>
      </c>
      <c r="D63" s="19">
        <f t="shared" si="35"/>
        <v>0</v>
      </c>
      <c r="E63" s="19">
        <f t="shared" si="35"/>
        <v>0</v>
      </c>
      <c r="F63" s="19">
        <f t="shared" si="35"/>
        <v>0</v>
      </c>
      <c r="G63" s="19">
        <f t="shared" si="35"/>
        <v>0</v>
      </c>
      <c r="I63" s="57" t="s">
        <v>72</v>
      </c>
      <c r="J63" s="25">
        <f t="shared" ref="J63:O63" si="36">J62-J33</f>
        <v>-9.9999999998544808E-2</v>
      </c>
      <c r="K63" s="25">
        <f t="shared" si="36"/>
        <v>-0.39999999999417923</v>
      </c>
      <c r="L63" s="25">
        <f t="shared" si="36"/>
        <v>0</v>
      </c>
      <c r="M63" s="25">
        <f t="shared" si="36"/>
        <v>0</v>
      </c>
      <c r="N63" s="25">
        <f t="shared" si="36"/>
        <v>9.9999999998544808E-2</v>
      </c>
      <c r="O63" s="95">
        <f t="shared" si="36"/>
        <v>0</v>
      </c>
    </row>
    <row r="64" spans="1:15" ht="15.75" thickBot="1">
      <c r="A64" s="29" t="s">
        <v>107</v>
      </c>
      <c r="B64" s="19">
        <f>J53+J54</f>
        <v>8476</v>
      </c>
      <c r="C64" s="19">
        <f>K53+K54</f>
        <v>8353.6</v>
      </c>
      <c r="D64" s="19">
        <f>L53+L54</f>
        <v>12459</v>
      </c>
      <c r="E64" s="19">
        <f>M53+M54</f>
        <v>14156.7</v>
      </c>
      <c r="F64" s="19">
        <f t="shared" ref="F64:G64" si="37">N53+N54</f>
        <v>15545.3</v>
      </c>
      <c r="G64" s="19">
        <f t="shared" si="37"/>
        <v>15856.6</v>
      </c>
    </row>
    <row r="65" spans="1:16" ht="15.75" thickBot="1">
      <c r="A65" s="38" t="s">
        <v>108</v>
      </c>
      <c r="B65" s="61">
        <f t="shared" ref="B65:D65" si="38">B62+B63-B64</f>
        <v>170014.05237749999</v>
      </c>
      <c r="C65" s="61">
        <f t="shared" si="38"/>
        <v>138523.39566229997</v>
      </c>
      <c r="D65" s="61">
        <f t="shared" si="38"/>
        <v>129419.40429570002</v>
      </c>
      <c r="E65" s="61">
        <f t="shared" ref="E65:F65" si="39">E62+E63-E64</f>
        <v>260639.21919030003</v>
      </c>
      <c r="F65" s="61">
        <f t="shared" si="39"/>
        <v>413430.12231499999</v>
      </c>
      <c r="G65" s="61">
        <f>G62+G63-G64</f>
        <v>484659.01207400003</v>
      </c>
      <c r="I65" s="98" t="s">
        <v>73</v>
      </c>
      <c r="J65" s="99"/>
      <c r="K65" s="99"/>
      <c r="L65" s="99"/>
      <c r="M65" s="99"/>
      <c r="N65" s="99"/>
      <c r="O65" s="100"/>
    </row>
    <row r="66" spans="1:16">
      <c r="I66" s="64" t="s">
        <v>74</v>
      </c>
      <c r="J66" s="50" t="s">
        <v>201</v>
      </c>
      <c r="K66" s="50" t="s">
        <v>200</v>
      </c>
      <c r="L66" s="75" t="s">
        <v>199</v>
      </c>
      <c r="M66" s="75" t="s">
        <v>198</v>
      </c>
      <c r="N66" s="59" t="s">
        <v>197</v>
      </c>
      <c r="O66" s="62" t="s">
        <v>206</v>
      </c>
    </row>
    <row r="67" spans="1:16">
      <c r="I67" s="52" t="s">
        <v>75</v>
      </c>
      <c r="J67" s="76">
        <f>5691.25/5</f>
        <v>1138.25</v>
      </c>
      <c r="K67" s="91">
        <f>4698.45/5</f>
        <v>939.68999999999994</v>
      </c>
      <c r="L67" s="76">
        <f>4538.55/5</f>
        <v>907.71</v>
      </c>
      <c r="M67" s="76">
        <f>8790.45/5</f>
        <v>1758.0900000000001</v>
      </c>
      <c r="N67" s="76">
        <v>2744.5</v>
      </c>
      <c r="O67" s="114">
        <v>3202.2</v>
      </c>
    </row>
    <row r="68" spans="1:16">
      <c r="I68" s="53" t="s">
        <v>76</v>
      </c>
      <c r="J68" s="116">
        <f>B39</f>
        <v>26.857974608017852</v>
      </c>
      <c r="K68" s="116">
        <f t="shared" ref="J68:N68" si="40">C39</f>
        <v>23.52343998064794</v>
      </c>
      <c r="L68" s="116">
        <f t="shared" si="40"/>
        <v>18.615685735338168</v>
      </c>
      <c r="M68" s="116">
        <f t="shared" si="40"/>
        <v>40.249214877680082</v>
      </c>
      <c r="N68" s="116">
        <f t="shared" si="40"/>
        <v>56.250118759207602</v>
      </c>
      <c r="O68" s="116">
        <f>G39</f>
        <v>57.517523420915239</v>
      </c>
      <c r="P68" t="s">
        <v>191</v>
      </c>
    </row>
    <row r="69" spans="1:16">
      <c r="B69" s="90"/>
      <c r="C69" s="90"/>
      <c r="D69" s="90"/>
      <c r="E69" s="80"/>
      <c r="F69" s="80"/>
      <c r="I69" s="53" t="s">
        <v>77</v>
      </c>
      <c r="J69" s="44">
        <f>J7/(B61/1000000)</f>
        <v>173.13285094329518</v>
      </c>
      <c r="K69" s="44">
        <f t="shared" ref="J69:O69" si="41">K7/(C61/1000000)</f>
        <v>189.51314450901887</v>
      </c>
      <c r="L69" s="44">
        <f t="shared" si="41"/>
        <v>200.90954998049628</v>
      </c>
      <c r="M69" s="44">
        <f t="shared" si="41"/>
        <v>233.75458810404129</v>
      </c>
      <c r="N69" s="44">
        <f t="shared" si="41"/>
        <v>274.20341441758853</v>
      </c>
      <c r="O69" s="44">
        <f t="shared" si="41"/>
        <v>307.436799148734</v>
      </c>
    </row>
    <row r="70" spans="1:16">
      <c r="I70" s="52" t="s">
        <v>78</v>
      </c>
      <c r="J70" s="118">
        <f>30/5</f>
        <v>6</v>
      </c>
      <c r="K70" s="118">
        <f>35/5</f>
        <v>7</v>
      </c>
      <c r="L70" s="118">
        <f>38/5</f>
        <v>7.6</v>
      </c>
      <c r="M70" s="118">
        <v>16</v>
      </c>
      <c r="N70" s="118">
        <v>24</v>
      </c>
      <c r="O70" s="119" t="s">
        <v>209</v>
      </c>
    </row>
    <row r="71" spans="1:16">
      <c r="B71" s="58"/>
      <c r="C71" s="58"/>
      <c r="D71" s="58"/>
      <c r="E71" s="58"/>
      <c r="I71" s="52" t="s">
        <v>79</v>
      </c>
      <c r="J71" s="45">
        <f t="shared" ref="J71:O71" si="42">J67/J68</f>
        <v>42.380336440566921</v>
      </c>
      <c r="K71" s="45">
        <f t="shared" si="42"/>
        <v>39.946963572209505</v>
      </c>
      <c r="L71" s="45">
        <f t="shared" si="42"/>
        <v>48.76049224858226</v>
      </c>
      <c r="M71" s="45">
        <f t="shared" si="42"/>
        <v>43.680106688862061</v>
      </c>
      <c r="N71" s="45">
        <f t="shared" si="42"/>
        <v>48.791008099885154</v>
      </c>
      <c r="O71" s="45">
        <f t="shared" si="42"/>
        <v>55.67346800671838</v>
      </c>
      <c r="P71" t="s">
        <v>192</v>
      </c>
    </row>
    <row r="72" spans="1:16">
      <c r="I72" s="52" t="s">
        <v>80</v>
      </c>
      <c r="J72" s="45">
        <f t="shared" ref="J72:L72" si="43">J67/J69</f>
        <v>6.574431101887197</v>
      </c>
      <c r="K72" s="45">
        <f t="shared" si="43"/>
        <v>4.9584423414771654</v>
      </c>
      <c r="L72" s="45">
        <f t="shared" si="43"/>
        <v>4.5180032511551484</v>
      </c>
      <c r="M72" s="45">
        <f t="shared" ref="M72:O72" si="44">M67/M69</f>
        <v>7.521093015797816</v>
      </c>
      <c r="N72" s="45">
        <f t="shared" si="44"/>
        <v>10.008992797662101</v>
      </c>
      <c r="O72" s="45">
        <f t="shared" si="44"/>
        <v>10.415799308562331</v>
      </c>
    </row>
    <row r="73" spans="1:16">
      <c r="B73" s="58"/>
      <c r="I73" s="52" t="s">
        <v>81</v>
      </c>
      <c r="J73" s="45">
        <f t="shared" ref="J73:O73" si="45">B65/B17</f>
        <v>20.472767734875482</v>
      </c>
      <c r="K73" s="45">
        <f t="shared" si="45"/>
        <v>19.878795083849944</v>
      </c>
      <c r="L73" s="45">
        <f t="shared" si="45"/>
        <v>21.699373645367345</v>
      </c>
      <c r="M73" s="45">
        <f t="shared" si="45"/>
        <v>24.967594830042827</v>
      </c>
      <c r="N73" s="45">
        <f t="shared" si="45"/>
        <v>30.131853499821442</v>
      </c>
      <c r="O73" s="45">
        <f t="shared" si="45"/>
        <v>33.523016570914734</v>
      </c>
    </row>
    <row r="74" spans="1:16">
      <c r="I74" s="54" t="s">
        <v>82</v>
      </c>
      <c r="J74" s="43">
        <f t="shared" ref="J74:O74" si="46">B30/J7</f>
        <v>0.15512928055932279</v>
      </c>
      <c r="K74" s="43">
        <f t="shared" si="46"/>
        <v>0.12412563804791106</v>
      </c>
      <c r="L74" s="43">
        <f t="shared" si="46"/>
        <v>9.265704759751503E-2</v>
      </c>
      <c r="M74" s="43">
        <f t="shared" si="46"/>
        <v>0.17218577485104014</v>
      </c>
      <c r="N74" s="43">
        <f t="shared" si="46"/>
        <v>0.20514011059520743</v>
      </c>
      <c r="O74" s="43">
        <f t="shared" si="46"/>
        <v>0.18708730893691419</v>
      </c>
    </row>
    <row r="75" spans="1:16">
      <c r="I75" s="54" t="s">
        <v>83</v>
      </c>
      <c r="J75" s="43">
        <f t="shared" ref="J75:O75" si="47">(B17-B21+B23)/J12</f>
        <v>0.26365371679968008</v>
      </c>
      <c r="K75" s="43">
        <f t="shared" si="47"/>
        <v>0.179033464665104</v>
      </c>
      <c r="L75" s="43">
        <f t="shared" si="47"/>
        <v>0.12555414473745799</v>
      </c>
      <c r="M75" s="43">
        <f t="shared" si="47"/>
        <v>0.22830643965435893</v>
      </c>
      <c r="N75" s="43">
        <f t="shared" si="47"/>
        <v>0.27147301688040221</v>
      </c>
      <c r="O75" s="43">
        <f t="shared" si="47"/>
        <v>0.25055540013494176</v>
      </c>
    </row>
    <row r="76" spans="1:16">
      <c r="I76" s="52" t="s">
        <v>84</v>
      </c>
      <c r="J76" s="45">
        <f t="shared" ref="J76:O76" si="48">J11/J7</f>
        <v>2.1336742876358495E-2</v>
      </c>
      <c r="K76" s="45">
        <f t="shared" si="48"/>
        <v>0</v>
      </c>
      <c r="L76" s="45">
        <f t="shared" si="48"/>
        <v>0</v>
      </c>
      <c r="M76" s="45">
        <f t="shared" si="48"/>
        <v>0</v>
      </c>
      <c r="N76" s="45">
        <f t="shared" si="48"/>
        <v>0</v>
      </c>
      <c r="O76" s="45">
        <f t="shared" si="48"/>
        <v>0</v>
      </c>
    </row>
    <row r="77" spans="1:16">
      <c r="I77" s="52" t="s">
        <v>85</v>
      </c>
      <c r="J77" s="45">
        <f t="shared" ref="J77:O77" si="49">(J11-J53-J54)/J7</f>
        <v>-0.29187806942016831</v>
      </c>
      <c r="K77" s="45">
        <f t="shared" si="49"/>
        <v>-0.28201042482512761</v>
      </c>
      <c r="L77" s="45">
        <f t="shared" si="49"/>
        <v>-0.39674679727031581</v>
      </c>
      <c r="M77" s="45">
        <f t="shared" si="49"/>
        <v>-0.38746520621731034</v>
      </c>
      <c r="N77" s="45">
        <f t="shared" si="49"/>
        <v>-0.36270794932219602</v>
      </c>
      <c r="O77" s="45">
        <f t="shared" si="49"/>
        <v>-0.32997804530367197</v>
      </c>
    </row>
    <row r="78" spans="1:16">
      <c r="I78" s="52" t="s">
        <v>86</v>
      </c>
      <c r="J78" s="42">
        <f t="shared" ref="J78:L78" si="50">J70/J68</f>
        <v>0.22339733682706042</v>
      </c>
      <c r="K78" s="42">
        <f t="shared" si="50"/>
        <v>0.29757552491296763</v>
      </c>
      <c r="L78" s="42">
        <f t="shared" si="50"/>
        <v>0.40825785888579513</v>
      </c>
      <c r="M78" s="42">
        <f t="shared" ref="M78:O78" si="51">M70/M68</f>
        <v>0.39752328209693072</v>
      </c>
      <c r="N78" s="42">
        <f t="shared" si="51"/>
        <v>0.42666576585798643</v>
      </c>
      <c r="O78" s="120" t="s">
        <v>205</v>
      </c>
    </row>
    <row r="79" spans="1:16">
      <c r="I79" s="52" t="s">
        <v>87</v>
      </c>
      <c r="J79" s="46">
        <f>AVERAGE(J52:J52)/B5*365</f>
        <v>60.119445096031797</v>
      </c>
      <c r="K79" s="46">
        <f>AVERAGE(J52:K52)/C5*365</f>
        <v>57.892669586754117</v>
      </c>
      <c r="L79" s="46">
        <f>AVERAGE(K52:L52)/D5*365</f>
        <v>64.215370669672282</v>
      </c>
      <c r="M79" s="46">
        <f>AVERAGE(L52:M52)/E5*365</f>
        <v>50.478046039025266</v>
      </c>
      <c r="N79" s="46">
        <f>AVERAGE(M52:N52)/F5*365</f>
        <v>49.925459634040159</v>
      </c>
      <c r="O79" s="46">
        <f>AVERAGE(N52:O52)/G5*365</f>
        <v>52.553403641749789</v>
      </c>
    </row>
    <row r="80" spans="1:16">
      <c r="I80" s="52" t="s">
        <v>88</v>
      </c>
      <c r="J80" s="46">
        <f>AVERAGE(J26:J26)/B10*365</f>
        <v>75.237252967788024</v>
      </c>
      <c r="K80" s="46">
        <f>AVERAGE(J26:K26)/C10*365</f>
        <v>63.018584802131492</v>
      </c>
      <c r="L80" s="46">
        <f>AVERAGE(K26:L26)/D10*365</f>
        <v>71.72827306771822</v>
      </c>
      <c r="M80" s="46">
        <f>AVERAGE(L26:M26)/E10*365</f>
        <v>68.926910613928612</v>
      </c>
      <c r="N80" s="46">
        <f>AVERAGE(M26:N26)/F10*365</f>
        <v>67.990626284086034</v>
      </c>
      <c r="O80" s="46">
        <f>AVERAGE(N26:O26)/G10*365</f>
        <v>66.69023864573478</v>
      </c>
    </row>
    <row r="81" spans="9:15">
      <c r="I81" s="52" t="s">
        <v>89</v>
      </c>
      <c r="J81" s="46">
        <f>AVERAGE(J49:J49)/B10*365</f>
        <v>86.914403158663177</v>
      </c>
      <c r="K81" s="46">
        <f>AVERAGE(J49:K49)/C10*365</f>
        <v>79.844270278537266</v>
      </c>
      <c r="L81" s="46">
        <f>AVERAGE(K49:L49)/D10*365</f>
        <v>81.137513485361424</v>
      </c>
      <c r="M81" s="46">
        <f>AVERAGE(L49:M49)/E10*365</f>
        <v>71.589463430791653</v>
      </c>
      <c r="N81" s="46">
        <f>AVERAGE(M49:N49)/F10*365</f>
        <v>76.295919813817619</v>
      </c>
      <c r="O81" s="46">
        <f>AVERAGE(N49:O49)/G10*365</f>
        <v>78.758295093689242</v>
      </c>
    </row>
    <row r="82" spans="9:15">
      <c r="I82" s="53" t="s">
        <v>90</v>
      </c>
      <c r="J82" s="55">
        <f t="shared" ref="J82:L82" si="52">(J81+J79-J80)</f>
        <v>71.796595286906964</v>
      </c>
      <c r="K82" s="55">
        <f t="shared" si="52"/>
        <v>74.718355063159891</v>
      </c>
      <c r="L82" s="55">
        <f t="shared" si="52"/>
        <v>73.624611087315486</v>
      </c>
      <c r="M82" s="55">
        <f t="shared" ref="M82:N82" si="53">(M81+M79-M80)</f>
        <v>53.1405988558883</v>
      </c>
      <c r="N82" s="55">
        <f t="shared" si="53"/>
        <v>58.230753163771737</v>
      </c>
      <c r="O82" s="55">
        <f t="shared" ref="O82" si="54">(O81+O79-O80)</f>
        <v>64.621460089704243</v>
      </c>
    </row>
    <row r="83" spans="9:15">
      <c r="I83" s="52" t="s">
        <v>91</v>
      </c>
      <c r="J83" s="46">
        <f>AVERAGE(J61:J61)/B7*365</f>
        <v>133.34400545105549</v>
      </c>
      <c r="K83" s="46">
        <f>AVERAGE(J61:K61)/C7*365</f>
        <v>137.24061385999852</v>
      </c>
      <c r="L83" s="46">
        <f>AVERAGE(K61:L61)/D7*365</f>
        <v>162.12969697603964</v>
      </c>
      <c r="M83" s="46">
        <f>AVERAGE(L61:M61)/E7*365</f>
        <v>129.49935468179689</v>
      </c>
      <c r="N83" s="46">
        <f>AVERAGE(M61:N61)/F7*365</f>
        <v>127.15350030957077</v>
      </c>
      <c r="O83" s="46">
        <f>AVERAGE(N61:O61)/G7*365</f>
        <v>131.42347731531319</v>
      </c>
    </row>
    <row r="84" spans="9:15" ht="15.75" thickBot="1">
      <c r="I84" s="56" t="s">
        <v>92</v>
      </c>
      <c r="J84" s="31">
        <f>B22/J11</f>
        <v>0.12192587461032213</v>
      </c>
      <c r="K84" s="31" t="s">
        <v>205</v>
      </c>
      <c r="L84" s="31" t="s">
        <v>205</v>
      </c>
      <c r="M84" s="31" t="s">
        <v>205</v>
      </c>
      <c r="N84" s="31" t="s">
        <v>205</v>
      </c>
      <c r="O84" s="31" t="s">
        <v>205</v>
      </c>
    </row>
    <row r="87" spans="9:15">
      <c r="J87" s="117"/>
      <c r="K87" s="117"/>
      <c r="L87" s="117"/>
      <c r="M87" s="117"/>
      <c r="N87" s="117"/>
      <c r="O87" s="117"/>
    </row>
  </sheetData>
  <mergeCells count="6">
    <mergeCell ref="I65:O65"/>
    <mergeCell ref="A1:O1"/>
    <mergeCell ref="A3:G3"/>
    <mergeCell ref="A44:G44"/>
    <mergeCell ref="A54:G54"/>
    <mergeCell ref="I3:O3"/>
  </mergeCells>
  <pageMargins left="0.25" right="0.25" top="0.75" bottom="0.75" header="0.3" footer="0.3"/>
  <pageSetup paperSize="9" scale="40" orientation="landscape" verticalDpi="360" r:id="rId1"/>
  <colBreaks count="1" manualBreakCount="1">
    <brk id="11" max="1048575" man="1"/>
  </colBreaks>
  <ignoredErrors>
    <ignoredError sqref="J60:M60" formulaRange="1"/>
    <ignoredError sqref="N6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5"/>
  <sheetViews>
    <sheetView zoomScale="101" workbookViewId="0">
      <selection activeCell="F15" sqref="F15"/>
    </sheetView>
  </sheetViews>
  <sheetFormatPr defaultColWidth="11.5703125" defaultRowHeight="15"/>
  <cols>
    <col min="4" max="4" width="18.7109375" bestFit="1" customWidth="1"/>
  </cols>
  <sheetData>
    <row r="3" spans="1:5">
      <c r="A3" s="105" t="s">
        <v>181</v>
      </c>
      <c r="B3" s="105"/>
      <c r="C3" s="105"/>
      <c r="D3" s="105"/>
      <c r="E3" s="105"/>
    </row>
    <row r="6" spans="1:5">
      <c r="D6" t="s">
        <v>180</v>
      </c>
    </row>
    <row r="7" spans="1:5">
      <c r="A7" s="2" t="s">
        <v>11</v>
      </c>
      <c r="B7" s="2">
        <f>'Summary Sheet'!F17</f>
        <v>13720.699999999997</v>
      </c>
      <c r="D7" s="2" t="s">
        <v>177</v>
      </c>
      <c r="E7" s="2">
        <v>170</v>
      </c>
    </row>
    <row r="8" spans="1:5">
      <c r="A8" s="2" t="s">
        <v>13</v>
      </c>
      <c r="B8" s="2">
        <f>'Summary Sheet'!F21</f>
        <v>2064.6</v>
      </c>
      <c r="D8" s="2" t="s">
        <v>178</v>
      </c>
      <c r="E8" s="2">
        <v>7544</v>
      </c>
    </row>
    <row r="9" spans="1:5">
      <c r="A9" s="2" t="s">
        <v>14</v>
      </c>
      <c r="B9" s="2">
        <f>'Summary Sheet'!F23</f>
        <v>149.80000000000001</v>
      </c>
      <c r="D9" s="2"/>
      <c r="E9" s="2"/>
    </row>
    <row r="10" spans="1:5">
      <c r="A10" s="2"/>
      <c r="B10" s="2"/>
      <c r="D10" s="2"/>
      <c r="E10" s="2"/>
    </row>
    <row r="11" spans="1:5">
      <c r="A11" s="2" t="s">
        <v>176</v>
      </c>
      <c r="B11" s="2">
        <f>B7-B8+B9</f>
        <v>11805.899999999996</v>
      </c>
      <c r="D11" s="2" t="s">
        <v>179</v>
      </c>
      <c r="E11" s="2">
        <f>E7+E8</f>
        <v>7714</v>
      </c>
    </row>
    <row r="15" spans="1:5">
      <c r="B15" s="1" t="s">
        <v>175</v>
      </c>
      <c r="C15" s="48">
        <f>B11/E11</f>
        <v>1.5304511278195483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109375" defaultRowHeight="15"/>
  <cols>
    <col min="1" max="1" width="20.42578125" bestFit="1" customWidth="1"/>
    <col min="4" max="4" width="10.140625" bestFit="1" customWidth="1"/>
    <col min="8" max="8" width="20.140625" bestFit="1" customWidth="1"/>
    <col min="11" max="11" width="12" bestFit="1" customWidth="1"/>
  </cols>
  <sheetData>
    <row r="3" spans="1:13" ht="15.75" thickBot="1">
      <c r="B3" t="s">
        <v>2</v>
      </c>
      <c r="C3" t="s">
        <v>2</v>
      </c>
      <c r="D3" t="s">
        <v>2</v>
      </c>
      <c r="E3" t="s">
        <v>2</v>
      </c>
      <c r="F3" t="s">
        <v>2</v>
      </c>
    </row>
    <row r="4" spans="1:13">
      <c r="A4" s="14" t="s">
        <v>0</v>
      </c>
      <c r="B4" t="s">
        <v>139</v>
      </c>
      <c r="C4" t="s">
        <v>140</v>
      </c>
      <c r="D4" t="s">
        <v>143</v>
      </c>
      <c r="E4" t="s">
        <v>141</v>
      </c>
      <c r="F4" t="s">
        <v>144</v>
      </c>
      <c r="H4" s="10" t="s">
        <v>145</v>
      </c>
      <c r="I4" t="s">
        <v>139</v>
      </c>
      <c r="J4" t="s">
        <v>140</v>
      </c>
      <c r="K4" t="s">
        <v>143</v>
      </c>
      <c r="L4" t="s">
        <v>141</v>
      </c>
      <c r="M4" t="s">
        <v>144</v>
      </c>
    </row>
    <row r="5" spans="1:13">
      <c r="A5" s="11" t="s">
        <v>166</v>
      </c>
      <c r="B5" s="5">
        <f>'Summary Sheet'!D5</f>
        <v>37618.400000000001</v>
      </c>
      <c r="C5">
        <v>58100.9</v>
      </c>
      <c r="D5">
        <f>5436762300/10^6</f>
        <v>5436.7623000000003</v>
      </c>
      <c r="H5" s="11" t="s">
        <v>146</v>
      </c>
      <c r="I5">
        <f>'Summary Sheet'!L7</f>
        <v>31402.899999999998</v>
      </c>
      <c r="J5">
        <v>31174</v>
      </c>
      <c r="K5">
        <f>5769088987/10^6</f>
        <v>5769.0889870000001</v>
      </c>
    </row>
    <row r="6" spans="1:13">
      <c r="A6" s="11" t="s">
        <v>167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68</v>
      </c>
      <c r="I6">
        <f>'Summary Sheet'!L9</f>
        <v>0</v>
      </c>
      <c r="J6">
        <v>217.8</v>
      </c>
    </row>
    <row r="7" spans="1:13">
      <c r="A7" s="12" t="s">
        <v>142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69</v>
      </c>
      <c r="I7">
        <f>'Summary Sheet'!L10</f>
        <v>0</v>
      </c>
      <c r="J7">
        <v>165.1</v>
      </c>
    </row>
    <row r="8" spans="1:13">
      <c r="A8" s="11"/>
      <c r="H8" s="12" t="s">
        <v>70</v>
      </c>
      <c r="I8">
        <f>SUM(I6:I7)</f>
        <v>0</v>
      </c>
      <c r="J8">
        <f>SUM(J6:J7)</f>
        <v>382.9</v>
      </c>
    </row>
    <row r="9" spans="1:13">
      <c r="A9" s="11" t="s">
        <v>7</v>
      </c>
      <c r="B9" s="5">
        <f>'Summary Sheet'!D10</f>
        <v>32257.199999999997</v>
      </c>
      <c r="C9">
        <v>51476.9</v>
      </c>
      <c r="D9">
        <f>5263386907/10^6</f>
        <v>5263.3869070000001</v>
      </c>
      <c r="H9" s="12" t="s">
        <v>71</v>
      </c>
      <c r="I9" s="4">
        <f>'Summary Sheet'!L12</f>
        <v>32053.899999999998</v>
      </c>
      <c r="J9">
        <v>32399.4</v>
      </c>
      <c r="K9">
        <f>(7286416406/10^6)-(1099349464/10^6)</f>
        <v>6187.0669420000004</v>
      </c>
    </row>
    <row r="10" spans="1:13">
      <c r="A10" s="11"/>
      <c r="H10" s="11" t="s">
        <v>147</v>
      </c>
      <c r="I10" s="4">
        <f>'Summary Sheet'!L47</f>
        <v>14369.8</v>
      </c>
      <c r="J10">
        <v>21044.7</v>
      </c>
      <c r="K10">
        <f>3033435232/10^6</f>
        <v>3033.4352319999998</v>
      </c>
    </row>
    <row r="11" spans="1:13">
      <c r="A11" s="12" t="s">
        <v>154</v>
      </c>
      <c r="B11" s="5">
        <f>'Summary Sheet'!D17</f>
        <v>5964.2000000000044</v>
      </c>
      <c r="C11" s="5">
        <f>C5-C9</f>
        <v>6624</v>
      </c>
      <c r="D11" s="5">
        <f>D5-D9</f>
        <v>173.37539300000026</v>
      </c>
      <c r="H11" s="11" t="s">
        <v>148</v>
      </c>
      <c r="I11" s="4">
        <f>'Summary Sheet'!L60</f>
        <v>27260.500000000004</v>
      </c>
      <c r="J11">
        <v>28970.1</v>
      </c>
      <c r="K11">
        <f>4252981174/10^6</f>
        <v>4252.9811739999996</v>
      </c>
    </row>
    <row r="12" spans="1:13">
      <c r="A12" s="12" t="s">
        <v>155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168</v>
      </c>
      <c r="I12" s="4">
        <f>'Summary Sheet'!L49</f>
        <v>7136.3</v>
      </c>
      <c r="J12">
        <v>8833.6</v>
      </c>
      <c r="K12">
        <f>1022696874/10^6</f>
        <v>1022.696874</v>
      </c>
    </row>
    <row r="13" spans="1:13">
      <c r="A13" s="12" t="s">
        <v>142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169</v>
      </c>
    </row>
    <row r="14" spans="1:13">
      <c r="A14" s="11"/>
      <c r="H14" s="11" t="s">
        <v>170</v>
      </c>
      <c r="I14" s="4">
        <f>'Summary Sheet'!L52</f>
        <v>6917.2</v>
      </c>
      <c r="J14">
        <v>7318.6</v>
      </c>
      <c r="K14">
        <f>961576534/10^6</f>
        <v>961.57653400000004</v>
      </c>
    </row>
    <row r="15" spans="1:13">
      <c r="A15" s="11" t="s">
        <v>156</v>
      </c>
      <c r="B15" s="5">
        <f>'Summary Sheet'!D21</f>
        <v>1939.7</v>
      </c>
      <c r="C15">
        <v>1072.2</v>
      </c>
      <c r="D15">
        <f>163499020/10^6</f>
        <v>163.49902</v>
      </c>
      <c r="H15" s="11" t="s">
        <v>171</v>
      </c>
    </row>
    <row r="16" spans="1:13">
      <c r="A16" s="11" t="s">
        <v>157</v>
      </c>
      <c r="B16" s="5">
        <f>'Summary Sheet'!D22</f>
        <v>52.4</v>
      </c>
      <c r="C16">
        <v>172.3</v>
      </c>
      <c r="D16">
        <f>14683746/10^6</f>
        <v>14.683745999999999</v>
      </c>
      <c r="H16" s="11" t="s">
        <v>149</v>
      </c>
      <c r="I16" s="4">
        <f>SUM('Summary Sheet'!L53:L54)</f>
        <v>12459</v>
      </c>
      <c r="J16">
        <v>1688.9</v>
      </c>
      <c r="K16">
        <f>+(231535599+26760959)/10^6</f>
        <v>258.296558</v>
      </c>
    </row>
    <row r="17" spans="1:13">
      <c r="A17" s="11"/>
      <c r="H17" s="11" t="s">
        <v>150</v>
      </c>
      <c r="I17" s="4">
        <f>'Summary Sheet'!L32</f>
        <v>9576.4</v>
      </c>
      <c r="J17">
        <v>17754.599999999999</v>
      </c>
      <c r="K17">
        <f>1099349464/10^6</f>
        <v>1099.3494639999999</v>
      </c>
    </row>
    <row r="18" spans="1:13">
      <c r="A18" s="11" t="s">
        <v>158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172</v>
      </c>
      <c r="I18" s="4">
        <f>'Summary Sheet'!L26</f>
        <v>7686.6</v>
      </c>
      <c r="J18">
        <f>802.5+12126.7</f>
        <v>12929.2</v>
      </c>
      <c r="K18">
        <f>+(102240330+475471708)/10^6</f>
        <v>577.71203800000001</v>
      </c>
    </row>
    <row r="19" spans="1:13">
      <c r="A19" s="11" t="s">
        <v>159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173</v>
      </c>
    </row>
    <row r="20" spans="1:13" ht="15.75" thickBot="1">
      <c r="A20" s="11"/>
      <c r="H20" s="15" t="s">
        <v>151</v>
      </c>
      <c r="I20" s="4">
        <f>I11-I17</f>
        <v>17684.100000000006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>
      <c r="A21" s="11" t="s">
        <v>160</v>
      </c>
      <c r="B21" s="5">
        <f>'Summary Sheet'!D24</f>
        <v>3972.1000000000045</v>
      </c>
      <c r="C21">
        <v>6252.5</v>
      </c>
      <c r="D21">
        <f>231033695/10^6</f>
        <v>231.03369499999999</v>
      </c>
    </row>
    <row r="22" spans="1:13">
      <c r="A22" s="11" t="s">
        <v>161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>
      <c r="A23" s="11"/>
    </row>
    <row r="24" spans="1:13">
      <c r="A24" s="11" t="s">
        <v>162</v>
      </c>
      <c r="B24" s="5">
        <f>'Summary Sheet'!D30</f>
        <v>2909.7000000000044</v>
      </c>
      <c r="C24">
        <v>4717.2</v>
      </c>
      <c r="D24">
        <f>180059052/10^6</f>
        <v>180.05905200000001</v>
      </c>
    </row>
    <row r="25" spans="1:13">
      <c r="A25" s="11" t="s">
        <v>163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.75" thickBot="1">
      <c r="A26" s="12" t="s">
        <v>142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>
      <c r="A27" s="11"/>
      <c r="H27" s="14" t="s">
        <v>73</v>
      </c>
      <c r="I27" t="s">
        <v>139</v>
      </c>
      <c r="J27" t="s">
        <v>140</v>
      </c>
      <c r="K27" t="s">
        <v>143</v>
      </c>
      <c r="L27" t="s">
        <v>141</v>
      </c>
      <c r="M27" t="s">
        <v>144</v>
      </c>
    </row>
    <row r="28" spans="1:13" ht="15.75" thickBot="1">
      <c r="A28" s="13" t="s">
        <v>164</v>
      </c>
      <c r="B28" s="4">
        <f>'Summary Sheet'!D39</f>
        <v>18.615685735338168</v>
      </c>
      <c r="C28">
        <v>55.04</v>
      </c>
      <c r="D28">
        <v>20.83</v>
      </c>
      <c r="H28" s="11" t="s">
        <v>104</v>
      </c>
    </row>
    <row r="29" spans="1:13">
      <c r="H29" s="11" t="s">
        <v>105</v>
      </c>
    </row>
    <row r="30" spans="1:13">
      <c r="H30" s="11" t="s">
        <v>106</v>
      </c>
    </row>
    <row r="31" spans="1:13">
      <c r="H31" s="11" t="s">
        <v>107</v>
      </c>
    </row>
    <row r="32" spans="1:13">
      <c r="H32" s="11" t="s">
        <v>108</v>
      </c>
    </row>
    <row r="33" spans="8:8">
      <c r="H33" s="11" t="s">
        <v>75</v>
      </c>
    </row>
    <row r="34" spans="8:8">
      <c r="H34" s="11" t="s">
        <v>76</v>
      </c>
    </row>
    <row r="35" spans="8:8">
      <c r="H35" s="11" t="s">
        <v>77</v>
      </c>
    </row>
    <row r="36" spans="8:8">
      <c r="H36" s="11" t="s">
        <v>79</v>
      </c>
    </row>
    <row r="37" spans="8:8">
      <c r="H37" s="11" t="s">
        <v>80</v>
      </c>
    </row>
    <row r="38" spans="8:8">
      <c r="H38" s="11" t="s">
        <v>81</v>
      </c>
    </row>
    <row r="39" spans="8:8">
      <c r="H39" s="11" t="s">
        <v>82</v>
      </c>
    </row>
    <row r="40" spans="8:8">
      <c r="H40" s="11" t="s">
        <v>83</v>
      </c>
    </row>
    <row r="41" spans="8:8">
      <c r="H41" s="11" t="s">
        <v>152</v>
      </c>
    </row>
    <row r="42" spans="8:8">
      <c r="H42" s="11" t="s">
        <v>84</v>
      </c>
    </row>
    <row r="43" spans="8:8">
      <c r="H43" s="11" t="s">
        <v>85</v>
      </c>
    </row>
    <row r="44" spans="8:8">
      <c r="H44" s="11" t="s">
        <v>153</v>
      </c>
    </row>
    <row r="45" spans="8:8">
      <c r="H45" s="11" t="s">
        <v>86</v>
      </c>
    </row>
    <row r="46" spans="8:8">
      <c r="H46" s="11" t="s">
        <v>87</v>
      </c>
    </row>
    <row r="47" spans="8:8">
      <c r="H47" s="11" t="s">
        <v>88</v>
      </c>
    </row>
    <row r="48" spans="8:8">
      <c r="H48" s="11" t="s">
        <v>89</v>
      </c>
    </row>
    <row r="49" spans="8:8">
      <c r="H49" s="11" t="s">
        <v>90</v>
      </c>
    </row>
    <row r="50" spans="8:8">
      <c r="H50" s="11" t="s">
        <v>91</v>
      </c>
    </row>
    <row r="51" spans="8:8">
      <c r="H51" s="11" t="s">
        <v>92</v>
      </c>
    </row>
    <row r="52" spans="8:8" ht="15.75" thickBot="1">
      <c r="H52" s="13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109375" defaultRowHeight="15"/>
  <cols>
    <col min="1" max="1" width="34.7109375" bestFit="1" customWidth="1"/>
    <col min="4" max="4" width="10.140625" bestFit="1" customWidth="1"/>
  </cols>
  <sheetData>
    <row r="2" spans="1:6">
      <c r="B2" t="s">
        <v>139</v>
      </c>
      <c r="C2" t="s">
        <v>140</v>
      </c>
      <c r="D2" t="s">
        <v>143</v>
      </c>
      <c r="E2" t="s">
        <v>141</v>
      </c>
      <c r="F2" t="s">
        <v>144</v>
      </c>
    </row>
    <row r="3" spans="1:6">
      <c r="A3" s="106" t="s">
        <v>110</v>
      </c>
    </row>
    <row r="4" spans="1:6">
      <c r="A4" s="107"/>
    </row>
    <row r="5" spans="1:6">
      <c r="A5" s="6" t="s">
        <v>111</v>
      </c>
    </row>
    <row r="6" spans="1:6">
      <c r="A6" s="6" t="s">
        <v>0</v>
      </c>
    </row>
    <row r="7" spans="1:6">
      <c r="A7" s="7" t="s">
        <v>112</v>
      </c>
    </row>
    <row r="8" spans="1:6">
      <c r="A8" s="7" t="s">
        <v>113</v>
      </c>
    </row>
    <row r="9" spans="1:6">
      <c r="A9" s="6" t="s">
        <v>11</v>
      </c>
    </row>
    <row r="10" spans="1:6">
      <c r="A10" s="7" t="s">
        <v>113</v>
      </c>
    </row>
    <row r="11" spans="1:6">
      <c r="A11" s="6" t="s">
        <v>114</v>
      </c>
    </row>
    <row r="12" spans="1:6">
      <c r="A12" s="6" t="s">
        <v>17</v>
      </c>
    </row>
    <row r="13" spans="1:6">
      <c r="A13" s="7" t="s">
        <v>113</v>
      </c>
    </row>
    <row r="14" spans="1:6">
      <c r="A14" s="6" t="s">
        <v>115</v>
      </c>
    </row>
    <row r="15" spans="1:6">
      <c r="A15" s="7" t="s">
        <v>23</v>
      </c>
    </row>
    <row r="16" spans="1:6">
      <c r="A16" s="7"/>
    </row>
    <row r="17" spans="1:1">
      <c r="A17" s="7"/>
    </row>
    <row r="18" spans="1:1">
      <c r="A18" s="6" t="s">
        <v>116</v>
      </c>
    </row>
    <row r="19" spans="1:1">
      <c r="A19" s="6" t="s">
        <v>117</v>
      </c>
    </row>
    <row r="20" spans="1:1">
      <c r="A20" s="6" t="s">
        <v>106</v>
      </c>
    </row>
    <row r="21" spans="1:1">
      <c r="A21" s="8" t="s">
        <v>118</v>
      </c>
    </row>
    <row r="22" spans="1:1">
      <c r="A22" s="8" t="s">
        <v>119</v>
      </c>
    </row>
    <row r="23" spans="1:1">
      <c r="A23" s="7"/>
    </row>
    <row r="24" spans="1:1">
      <c r="A24" s="6" t="s">
        <v>93</v>
      </c>
    </row>
    <row r="25" spans="1:1">
      <c r="A25" s="7" t="s">
        <v>120</v>
      </c>
    </row>
    <row r="26" spans="1:1">
      <c r="A26" s="7" t="s">
        <v>103</v>
      </c>
    </row>
    <row r="27" spans="1:1">
      <c r="A27" s="9"/>
    </row>
    <row r="28" spans="1:1">
      <c r="A28" s="9" t="s">
        <v>104</v>
      </c>
    </row>
    <row r="29" spans="1:1">
      <c r="A29" s="6" t="s">
        <v>105</v>
      </c>
    </row>
    <row r="30" spans="1:1">
      <c r="A30" s="6" t="s">
        <v>121</v>
      </c>
    </row>
    <row r="31" spans="1:1">
      <c r="A31" s="7"/>
    </row>
    <row r="32" spans="1:1">
      <c r="A32" s="7" t="s">
        <v>122</v>
      </c>
    </row>
    <row r="33" spans="1:1">
      <c r="A33" s="7" t="s">
        <v>86</v>
      </c>
    </row>
    <row r="34" spans="1:1">
      <c r="A34" s="7" t="s">
        <v>123</v>
      </c>
    </row>
    <row r="35" spans="1:1">
      <c r="A35" s="7" t="s">
        <v>124</v>
      </c>
    </row>
    <row r="36" spans="1:1">
      <c r="A36" s="7"/>
    </row>
    <row r="37" spans="1:1">
      <c r="A37" s="6" t="s">
        <v>125</v>
      </c>
    </row>
    <row r="38" spans="1:1">
      <c r="A38" s="6" t="s">
        <v>126</v>
      </c>
    </row>
    <row r="39" spans="1:1">
      <c r="A39" s="7" t="s">
        <v>127</v>
      </c>
    </row>
    <row r="40" spans="1:1">
      <c r="A40" s="7" t="s">
        <v>128</v>
      </c>
    </row>
    <row r="41" spans="1:1">
      <c r="A41" s="7" t="s">
        <v>129</v>
      </c>
    </row>
    <row r="42" spans="1:1">
      <c r="A42" s="7" t="s">
        <v>130</v>
      </c>
    </row>
    <row r="43" spans="1:1">
      <c r="A43" s="7" t="s">
        <v>131</v>
      </c>
    </row>
    <row r="44" spans="1:1">
      <c r="A44" s="7" t="s">
        <v>132</v>
      </c>
    </row>
    <row r="45" spans="1:1">
      <c r="A45" s="7" t="s">
        <v>89</v>
      </c>
    </row>
    <row r="46" spans="1:1">
      <c r="A46" s="7" t="s">
        <v>133</v>
      </c>
    </row>
    <row r="47" spans="1:1">
      <c r="A47" s="7" t="s">
        <v>134</v>
      </c>
    </row>
    <row r="48" spans="1:1">
      <c r="A48" s="7" t="s">
        <v>91</v>
      </c>
    </row>
    <row r="49" spans="1:1">
      <c r="A49" s="7" t="s">
        <v>135</v>
      </c>
    </row>
    <row r="50" spans="1:1">
      <c r="A50" s="7" t="s">
        <v>136</v>
      </c>
    </row>
    <row r="51" spans="1:1">
      <c r="A51" s="7" t="s">
        <v>137</v>
      </c>
    </row>
    <row r="52" spans="1:1">
      <c r="A52" s="7" t="s">
        <v>138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Sheet1</vt:lpstr>
      <vt:lpstr>Peer working</vt:lpstr>
      <vt:lpstr>Peers</vt:lpstr>
      <vt:lpstr>'Summary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V15</cp:lastModifiedBy>
  <cp:lastPrinted>2022-06-29T12:01:35Z</cp:lastPrinted>
  <dcterms:created xsi:type="dcterms:W3CDTF">2021-01-13T15:05:52Z</dcterms:created>
  <dcterms:modified xsi:type="dcterms:W3CDTF">2024-02-29T07:35:40Z</dcterms:modified>
</cp:coreProperties>
</file>