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90B92029-18A1-4EE8-87C2-39CFD6EE74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3" l="1"/>
  <c r="L10" i="3"/>
  <c r="M10" i="3"/>
  <c r="N10" i="3"/>
  <c r="K10" i="3"/>
  <c r="L9" i="3"/>
  <c r="M9" i="3"/>
  <c r="N9" i="3"/>
  <c r="K9" i="3"/>
  <c r="N59" i="3" l="1"/>
  <c r="G42" i="3"/>
  <c r="F42" i="3"/>
  <c r="D42" i="3"/>
  <c r="G21" i="3"/>
  <c r="N43" i="3"/>
  <c r="N42" i="3"/>
  <c r="J43" i="3"/>
  <c r="J53" i="3"/>
  <c r="J42" i="3"/>
  <c r="M42" i="3"/>
  <c r="M43" i="3"/>
  <c r="L53" i="3"/>
  <c r="L43" i="3"/>
  <c r="L42" i="3"/>
  <c r="K42" i="3"/>
  <c r="K43" i="3"/>
  <c r="K53" i="3"/>
  <c r="G51" i="3"/>
  <c r="G53" i="3"/>
  <c r="N39" i="3"/>
  <c r="G45" i="3"/>
  <c r="N7" i="3"/>
  <c r="N11" i="3"/>
  <c r="N15" i="3"/>
  <c r="N28" i="3"/>
  <c r="N49" i="3"/>
  <c r="N12" i="3" l="1"/>
  <c r="N60" i="3"/>
  <c r="N63" i="3" s="1"/>
  <c r="G52" i="3"/>
  <c r="G54" i="3" s="1"/>
  <c r="N68" i="3"/>
  <c r="N67" i="3"/>
  <c r="G47" i="3"/>
  <c r="N54" i="3"/>
  <c r="N13" i="3" s="1"/>
  <c r="N55" i="3"/>
  <c r="N47" i="3"/>
  <c r="G8" i="3"/>
  <c r="G14" i="3" s="1"/>
  <c r="G17" i="3" s="1"/>
  <c r="G23" i="3" l="1"/>
  <c r="J15" i="3"/>
  <c r="J11" i="3"/>
  <c r="J75" i="3" s="1"/>
  <c r="C53" i="3"/>
  <c r="C8" i="3"/>
  <c r="C14" i="3" s="1"/>
  <c r="C17" i="3" s="1"/>
  <c r="K15" i="3"/>
  <c r="K11" i="3"/>
  <c r="D53" i="3"/>
  <c r="D45" i="3"/>
  <c r="D47" i="3" s="1"/>
  <c r="D34" i="3"/>
  <c r="D8" i="3"/>
  <c r="D14" i="3" s="1"/>
  <c r="D17" i="3" s="1"/>
  <c r="D6" i="3"/>
  <c r="L72" i="3"/>
  <c r="M72" i="3"/>
  <c r="K72" i="3"/>
  <c r="J72" i="3"/>
  <c r="L71" i="3"/>
  <c r="K71" i="3"/>
  <c r="J71" i="3"/>
  <c r="L70" i="3"/>
  <c r="M70" i="3"/>
  <c r="K70" i="3"/>
  <c r="J70" i="3"/>
  <c r="K59" i="3"/>
  <c r="L59" i="3"/>
  <c r="M59" i="3"/>
  <c r="M49" i="3"/>
  <c r="L49" i="3"/>
  <c r="K49" i="3"/>
  <c r="J49" i="3"/>
  <c r="L39" i="3"/>
  <c r="M28" i="3"/>
  <c r="L28" i="3"/>
  <c r="M15" i="3"/>
  <c r="L15" i="3"/>
  <c r="M11" i="3"/>
  <c r="L11" i="3"/>
  <c r="K7" i="3"/>
  <c r="L7" i="3"/>
  <c r="M7" i="3"/>
  <c r="J7" i="3"/>
  <c r="E45" i="3"/>
  <c r="E47" i="3" s="1"/>
  <c r="F45" i="3"/>
  <c r="E34" i="3"/>
  <c r="E8" i="3"/>
  <c r="E14" i="3" s="1"/>
  <c r="E6" i="3"/>
  <c r="F35" i="3"/>
  <c r="F34" i="3"/>
  <c r="F8" i="3"/>
  <c r="F14" i="3" s="1"/>
  <c r="F17" i="3" s="1"/>
  <c r="F7" i="3"/>
  <c r="F6" i="3"/>
  <c r="L54" i="3" l="1"/>
  <c r="J12" i="3"/>
  <c r="L55" i="3"/>
  <c r="K12" i="3"/>
  <c r="M68" i="3"/>
  <c r="L67" i="3"/>
  <c r="L47" i="3"/>
  <c r="L74" i="3" s="1"/>
  <c r="M54" i="3"/>
  <c r="M77" i="3" s="1"/>
  <c r="K68" i="3"/>
  <c r="G24" i="3"/>
  <c r="G28" i="3" s="1"/>
  <c r="L13" i="3"/>
  <c r="J67" i="3"/>
  <c r="J68" i="3"/>
  <c r="D52" i="3"/>
  <c r="C21" i="3"/>
  <c r="C52" i="3"/>
  <c r="F52" i="3"/>
  <c r="K67" i="3"/>
  <c r="L73" i="3"/>
  <c r="M12" i="3"/>
  <c r="L12" i="3"/>
  <c r="M67" i="3"/>
  <c r="K73" i="3"/>
  <c r="J73" i="3"/>
  <c r="D21" i="3"/>
  <c r="E17" i="3"/>
  <c r="E21" i="3"/>
  <c r="E24" i="3" s="1"/>
  <c r="F21" i="3"/>
  <c r="F23" i="3" s="1"/>
  <c r="F47" i="3"/>
  <c r="R55" i="3" l="1"/>
  <c r="R13" i="3"/>
  <c r="G25" i="3"/>
  <c r="E23" i="3"/>
  <c r="L76" i="3"/>
  <c r="L66" i="3"/>
  <c r="M39" i="3"/>
  <c r="M71" i="3"/>
  <c r="M73" i="3" s="1"/>
  <c r="M66" i="3"/>
  <c r="M76" i="3"/>
  <c r="C23" i="3"/>
  <c r="C24" i="3"/>
  <c r="C25" i="3" s="1"/>
  <c r="D23" i="3"/>
  <c r="D24" i="3"/>
  <c r="D25" i="3" s="1"/>
  <c r="M55" i="3" l="1"/>
  <c r="S55" i="3" s="1"/>
  <c r="M47" i="3"/>
  <c r="M74" i="3" s="1"/>
  <c r="M13" i="3"/>
  <c r="S13" i="3" s="1"/>
  <c r="C45" i="3"/>
  <c r="C47" i="3" s="1"/>
  <c r="C51" i="3" l="1"/>
  <c r="E53" i="3"/>
  <c r="L68" i="3" s="1"/>
  <c r="J59" i="3"/>
  <c r="J62" i="3" s="1"/>
  <c r="K39" i="3"/>
  <c r="K55" i="3" s="1"/>
  <c r="J39" i="3"/>
  <c r="J55" i="3" s="1"/>
  <c r="K28" i="3"/>
  <c r="J28" i="3"/>
  <c r="J54" i="3" s="1"/>
  <c r="E52" i="3"/>
  <c r="K47" i="3" l="1"/>
  <c r="K74" i="3" s="1"/>
  <c r="K54" i="3"/>
  <c r="J47" i="3"/>
  <c r="J74" i="3" s="1"/>
  <c r="J13" i="3" l="1"/>
  <c r="P13" i="3" s="1"/>
  <c r="J77" i="3"/>
  <c r="P55" i="3"/>
  <c r="Q55" i="3"/>
  <c r="K13" i="3"/>
  <c r="Q13" i="3" s="1"/>
  <c r="L77" i="3"/>
  <c r="K77" i="3"/>
  <c r="F15" i="3"/>
  <c r="E42" i="3"/>
  <c r="C42" i="3"/>
  <c r="C43" i="3" s="1"/>
  <c r="D43" i="3" s="1"/>
  <c r="E43" i="3" l="1"/>
  <c r="F43" i="3" s="1"/>
  <c r="L65" i="3"/>
  <c r="F24" i="3"/>
  <c r="G43" i="3" l="1"/>
  <c r="F28" i="3"/>
  <c r="M65" i="3"/>
  <c r="E28" i="3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G45" i="2" l="1"/>
  <c r="E26" i="2"/>
  <c r="D26" i="2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38" i="2" s="1"/>
  <c r="D44" i="2"/>
  <c r="E20" i="2"/>
  <c r="E54" i="2" s="1"/>
  <c r="D20" i="2"/>
  <c r="D54" i="2" s="1"/>
  <c r="D46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F16" i="3" l="1"/>
  <c r="J66" i="3"/>
  <c r="D15" i="3"/>
  <c r="J64" i="3"/>
  <c r="J76" i="3"/>
  <c r="C28" i="3" l="1"/>
  <c r="F30" i="3" s="1"/>
  <c r="F26" i="3" l="1"/>
  <c r="J65" i="3"/>
  <c r="K66" i="3"/>
  <c r="E15" i="3"/>
  <c r="K76" i="3" l="1"/>
  <c r="K65" i="3" l="1"/>
  <c r="D28" i="3"/>
  <c r="E29" i="3" l="1"/>
  <c r="D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Dell</author>
  </authors>
  <commentList>
    <comment ref="B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PAT AFTER OCI</t>
        </r>
      </text>
    </comment>
    <comment ref="D42" authorId="1" shapeId="0" xr:uid="{E8CC0036-B687-4A10-9919-2575D06F734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0.19 effect of forex
</t>
        </r>
      </text>
    </comment>
    <comment ref="F42" authorId="1" shapeId="0" xr:uid="{EBCA0B6A-CC70-4673-B0E1-E3AE9F01C87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0.08 effect of forex</t>
        </r>
      </text>
    </comment>
  </commentList>
</comments>
</file>

<file path=xl/sharedStrings.xml><?xml version="1.0" encoding="utf-8"?>
<sst xmlns="http://schemas.openxmlformats.org/spreadsheetml/2006/main" count="260" uniqueCount="171">
  <si>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</si>
  <si>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</si>
  <si>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</si>
  <si>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</si>
  <si>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</si>
  <si>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</si>
  <si>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</si>
  <si>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</si>
  <si>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</si>
  <si>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</si>
  <si>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</si>
  <si>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</si>
  <si>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</si>
  <si>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</si>
  <si>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</si>
  <si>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</si>
  <si>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</si>
  <si>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</si>
  <si>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</si>
  <si>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</si>
  <si>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</si>
  <si>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</si>
  <si>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</si>
  <si>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</si>
  <si>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</si>
  <si>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</si>
  <si>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</si>
  <si>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</si>
  <si>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</si>
  <si>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</si>
  <si>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</si>
  <si>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</si>
  <si>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</si>
  <si>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</si>
  <si>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</si>
  <si>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</si>
  <si>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</si>
  <si>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</si>
  <si>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</si>
  <si>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</si>
  <si>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</si>
  <si>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</si>
  <si>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</si>
  <si>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</si>
  <si>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</si>
  <si>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</si>
  <si>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</si>
  <si>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</si>
  <si>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</si>
  <si>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</si>
  <si>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</si>
  <si>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</si>
  <si>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</si>
  <si>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</si>
  <si>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</si>
  <si>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</si>
  <si>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</si>
  <si>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</si>
  <si>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</si>
  <si>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</si>
  <si>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</si>
  <si>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</si>
  <si>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</si>
  <si>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</si>
  <si>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</si>
  <si>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</si>
  <si>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</si>
  <si>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</si>
  <si>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</si>
  <si>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</si>
  <si>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</si>
  <si>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</si>
  <si>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</si>
  <si>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</si>
  <si>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</si>
  <si>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</si>
  <si>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</si>
  <si>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</si>
  <si>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</si>
  <si>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</si>
  <si>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</si>
  <si>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</si>
  <si>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</si>
  <si>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</si>
  <si>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</si>
  <si>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</si>
  <si>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</si>
  <si>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</si>
  <si>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</si>
  <si>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</si>
  <si>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</si>
  <si>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</si>
  <si>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</si>
  <si>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</si>
  <si>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</si>
  <si>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</si>
  <si>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</si>
  <si>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</si>
  <si>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</si>
  <si>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</si>
  <si>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</si>
  <si>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</si>
  <si>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</si>
  <si>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</si>
  <si>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</si>
  <si>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</si>
  <si>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</si>
  <si>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</si>
  <si>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</si>
  <si>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</si>
  <si>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</si>
  <si>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</si>
  <si>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</si>
  <si>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</si>
  <si>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</si>
  <si>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</si>
  <si>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</si>
  <si>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</si>
  <si>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</si>
  <si>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</si>
  <si>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</si>
  <si>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</si>
  <si>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</si>
  <si>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</si>
  <si>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</si>
  <si>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</si>
  <si>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</si>
  <si>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</si>
  <si>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</si>
  <si>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</si>
  <si>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</si>
  <si>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</si>
  <si>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</si>
  <si>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</si>
  <si>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</si>
  <si>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</si>
  <si>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</si>
  <si>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</si>
  <si>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</si>
  <si>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</si>
  <si>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</si>
  <si>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</si>
  <si>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</si>
  <si>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</si>
  <si>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</si>
  <si>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</si>
  <si>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</si>
  <si>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</si>
  <si>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</si>
  <si>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</si>
  <si>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</si>
  <si>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</si>
  <si>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</si>
  <si>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</si>
  <si>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</si>
  <si>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</si>
  <si>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</si>
  <si>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</si>
  <si>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</si>
  <si>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</si>
  <si>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</si>
  <si>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Revenue from Operations</t>
  </si>
  <si>
    <t>TOTAL LIABILITIES &amp; EQUITY</t>
  </si>
  <si>
    <t>NA</t>
  </si>
  <si>
    <t>Total Comprehensive</t>
  </si>
  <si>
    <t>(i) Investments</t>
  </si>
  <si>
    <t>9M-FY26</t>
  </si>
  <si>
    <t>H1-FY26</t>
  </si>
  <si>
    <t>31st Dec 2025</t>
  </si>
  <si>
    <t>TTM</t>
  </si>
  <si>
    <t xml:space="preserve">KSH International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</si>
</sst>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0" fillId="0" borderId="1" xfId="0" applyBorder="1"/>
    <xf numFmtId="0" fontId="0" fillId="5" borderId="1" xfId="0" applyFill="1" applyBorder="1"/>
    <xf numFmtId="2" fontId="0" fillId="0" borderId="1" xfId="0" applyNumberFormat="1" applyBorder="1"/>
    <xf numFmtId="43" fontId="0" fillId="0" borderId="1" xfId="0" applyNumberForma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9" fillId="0" borderId="1" xfId="0" applyFont="1" applyBorder="1"/>
    <xf numFmtId="0" fontId="0" fillId="0" borderId="1" xfId="0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166" fontId="10" fillId="0" borderId="7" xfId="1" applyNumberFormat="1" applyFont="1" applyBorder="1"/>
    <xf numFmtId="43" fontId="1" fillId="2" borderId="1" xfId="1" applyFont="1" applyFill="1" applyBorder="1"/>
    <xf numFmtId="43" fontId="0" fillId="0" borderId="0" xfId="0" applyNumberFormat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horizontal="left" indent="1"/>
    </xf>
    <xf numFmtId="0" fontId="14" fillId="6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0" fillId="0" borderId="1" xfId="1" applyFont="1" applyFill="1" applyBorder="1"/>
    <xf numFmtId="2" fontId="0" fillId="0" borderId="1" xfId="0" applyNumberFormat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3" fontId="10" fillId="0" borderId="1" xfId="0" applyNumberFormat="1" applyFont="1" applyBorder="1"/>
    <xf numFmtId="43" fontId="0" fillId="2" borderId="7" xfId="1" applyFont="1" applyFill="1" applyBorder="1"/>
    <xf numFmtId="0" fontId="1" fillId="0" borderId="0" xfId="0" applyFont="1"/>
    <xf numFmtId="2" fontId="0" fillId="2" borderId="1" xfId="0" applyNumberForma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77"/>
  <sheetViews>
    <sheetView tabSelected="1" topLeftCell="D1" zoomScale="75" zoomScaleNormal="70" workbookViewId="0">
      <selection activeCell="G54" sqref="G54"/>
    </sheetView>
  </sheetViews>
  <sheetFormatPr defaultColWidth="8.81640625" defaultRowHeight="14.5" x14ac:dyDescent="0.35"/>
  <cols>
    <col min="2" max="2" width="61.7265625" bestFit="1" customWidth="1"/>
    <col min="3" max="3" width="12.81640625" hidden="1" customWidth="1"/>
    <col min="4" max="4" width="13" bestFit="1" customWidth="1"/>
    <col min="5" max="5" width="14" bestFit="1" customWidth="1"/>
    <col min="6" max="6" width="13" bestFit="1" customWidth="1"/>
    <col min="7" max="7" width="12.453125" bestFit="1" customWidth="1"/>
    <col min="9" max="9" width="49.7265625" bestFit="1" customWidth="1"/>
    <col min="10" max="10" width="13.1796875" hidden="1" customWidth="1"/>
    <col min="11" max="14" width="13.1796875" bestFit="1" customWidth="1"/>
    <col min="16" max="17" width="10.1796875" bestFit="1" customWidth="1"/>
  </cols>
  <sheetData>
    <row r="2" spans="2:19" ht="18.5" x14ac:dyDescent="0.45">
      <c r="B2" s="89" t="s">
        <v>170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2:19" x14ac:dyDescent="0.35">
      <c r="B3" s="84" t="s">
        <v>15</v>
      </c>
      <c r="C3" s="85"/>
      <c r="D3" s="85"/>
      <c r="E3" s="85"/>
      <c r="F3" s="85"/>
      <c r="G3" s="86"/>
      <c r="I3" s="87" t="s">
        <v>22</v>
      </c>
      <c r="J3" s="88"/>
      <c r="K3" s="88"/>
      <c r="L3" s="88"/>
      <c r="M3" s="88"/>
      <c r="N3" s="88"/>
    </row>
    <row r="4" spans="2:19" x14ac:dyDescent="0.35">
      <c r="B4" s="70" t="s">
        <v>157</v>
      </c>
      <c r="C4" s="71" t="s">
        <v>72</v>
      </c>
      <c r="D4" s="71" t="s">
        <v>124</v>
      </c>
      <c r="E4" s="71" t="s">
        <v>126</v>
      </c>
      <c r="F4" s="71" t="s">
        <v>127</v>
      </c>
      <c r="G4" s="71" t="s">
        <v>166</v>
      </c>
      <c r="I4" s="70" t="s">
        <v>157</v>
      </c>
      <c r="J4" s="71" t="s">
        <v>72</v>
      </c>
      <c r="K4" s="71" t="s">
        <v>124</v>
      </c>
      <c r="L4" s="71" t="s">
        <v>126</v>
      </c>
      <c r="M4" s="71" t="s">
        <v>127</v>
      </c>
      <c r="N4" s="71" t="s">
        <v>167</v>
      </c>
    </row>
    <row r="5" spans="2:19" x14ac:dyDescent="0.35">
      <c r="B5" s="38" t="s">
        <v>161</v>
      </c>
      <c r="C5" s="47">
        <v>8705.89</v>
      </c>
      <c r="D5" s="47">
        <v>10494.6</v>
      </c>
      <c r="E5" s="47">
        <v>13828.15</v>
      </c>
      <c r="F5" s="47">
        <v>19282.93</v>
      </c>
      <c r="G5" s="47">
        <v>20886.29</v>
      </c>
      <c r="I5" s="51" t="s">
        <v>16</v>
      </c>
      <c r="J5" s="47">
        <v>56.82</v>
      </c>
      <c r="K5" s="47">
        <v>56.82</v>
      </c>
      <c r="L5" s="47">
        <v>56.82</v>
      </c>
      <c r="M5" s="47">
        <v>284.08999999999997</v>
      </c>
      <c r="N5" s="47">
        <v>284.08999999999997</v>
      </c>
    </row>
    <row r="6" spans="2:19" x14ac:dyDescent="0.35">
      <c r="B6" s="35" t="s">
        <v>0</v>
      </c>
      <c r="C6" s="45">
        <v>0</v>
      </c>
      <c r="D6" s="42">
        <f>D5/C5-1</f>
        <v>0.20545975196102884</v>
      </c>
      <c r="E6" s="42">
        <f>E5/D5-1</f>
        <v>0.31764431231299906</v>
      </c>
      <c r="F6" s="42">
        <f>F5/E5-1</f>
        <v>0.39446925293694379</v>
      </c>
      <c r="G6" s="42"/>
      <c r="I6" s="51" t="s">
        <v>138</v>
      </c>
      <c r="J6" s="47">
        <v>1613.41</v>
      </c>
      <c r="K6" s="47">
        <v>1879.73</v>
      </c>
      <c r="L6" s="47">
        <v>2252.64</v>
      </c>
      <c r="M6" s="47">
        <v>2701.37</v>
      </c>
      <c r="N6" s="47">
        <v>3220.57</v>
      </c>
    </row>
    <row r="7" spans="2:19" x14ac:dyDescent="0.35">
      <c r="B7" s="35" t="s">
        <v>1</v>
      </c>
      <c r="C7" s="45">
        <v>0</v>
      </c>
      <c r="D7" s="45">
        <v>0</v>
      </c>
      <c r="E7" s="45">
        <v>0</v>
      </c>
      <c r="F7" s="43">
        <f>+((F5/C5)^(1/3)-1)</f>
        <v>0.30352675562455711</v>
      </c>
      <c r="G7" s="43"/>
      <c r="I7" s="52" t="s">
        <v>17</v>
      </c>
      <c r="J7" s="44">
        <f>J5+J6+J8</f>
        <v>1670.23</v>
      </c>
      <c r="K7" s="44">
        <f t="shared" ref="K7:M7" si="0">K5+K6+K8</f>
        <v>1936.55</v>
      </c>
      <c r="L7" s="44">
        <f t="shared" si="0"/>
        <v>2309.46</v>
      </c>
      <c r="M7" s="44">
        <f t="shared" si="0"/>
        <v>2985.46</v>
      </c>
      <c r="N7" s="44">
        <f t="shared" ref="N7" si="1">N5+N6+N8</f>
        <v>3504.6600000000003</v>
      </c>
    </row>
    <row r="8" spans="2:19" x14ac:dyDescent="0.35">
      <c r="B8" s="36" t="s">
        <v>2</v>
      </c>
      <c r="C8" s="44">
        <f>SUM(C9:C13)</f>
        <v>8211.77</v>
      </c>
      <c r="D8" s="44">
        <f>SUM(D9:D13)</f>
        <v>9995.5999999999985</v>
      </c>
      <c r="E8" s="44">
        <f>SUM(E9:E13)</f>
        <v>13113.53</v>
      </c>
      <c r="F8" s="44">
        <f>SUM(F9:F13)</f>
        <v>18057.590000000004</v>
      </c>
      <c r="G8" s="44">
        <f>SUM(G9:G13)</f>
        <v>19528.7</v>
      </c>
      <c r="I8" s="51" t="s">
        <v>11</v>
      </c>
      <c r="J8" s="47"/>
      <c r="K8" s="47"/>
      <c r="L8" s="47"/>
      <c r="M8" s="47"/>
      <c r="N8" s="47"/>
    </row>
    <row r="9" spans="2:19" x14ac:dyDescent="0.35">
      <c r="B9" s="38" t="s">
        <v>128</v>
      </c>
      <c r="C9" s="47">
        <v>8096.84</v>
      </c>
      <c r="D9" s="47">
        <v>9449.56</v>
      </c>
      <c r="E9" s="47">
        <v>12514.1</v>
      </c>
      <c r="F9" s="47">
        <v>17418.18</v>
      </c>
      <c r="G9" s="47">
        <v>19892</v>
      </c>
      <c r="I9" s="51" t="s">
        <v>18</v>
      </c>
      <c r="J9" s="47"/>
      <c r="K9" s="47">
        <f>K51</f>
        <v>78.13</v>
      </c>
      <c r="L9" s="47">
        <f t="shared" ref="L9:N9" si="2">L51</f>
        <v>343.47</v>
      </c>
      <c r="M9" s="47">
        <f t="shared" si="2"/>
        <v>1158.6199999999999</v>
      </c>
      <c r="N9" s="47">
        <f t="shared" si="2"/>
        <v>1397.93</v>
      </c>
    </row>
    <row r="10" spans="2:19" x14ac:dyDescent="0.35">
      <c r="B10" s="38" t="s">
        <v>130</v>
      </c>
      <c r="C10" s="47"/>
      <c r="D10" s="47"/>
      <c r="E10" s="38"/>
      <c r="F10" s="38"/>
      <c r="G10" s="38"/>
      <c r="I10" s="51" t="s">
        <v>19</v>
      </c>
      <c r="J10" s="47"/>
      <c r="K10" s="47">
        <f>K41</f>
        <v>1125.4100000000001</v>
      </c>
      <c r="L10" s="47">
        <f t="shared" ref="L10:N10" si="3">L41</f>
        <v>1724.61</v>
      </c>
      <c r="M10" s="47">
        <f t="shared" si="3"/>
        <v>2441.87</v>
      </c>
      <c r="N10" s="47">
        <f t="shared" si="3"/>
        <v>3445.2</v>
      </c>
    </row>
    <row r="11" spans="2:19" x14ac:dyDescent="0.35">
      <c r="B11" s="38" t="s">
        <v>129</v>
      </c>
      <c r="C11" s="38">
        <v>-500.49</v>
      </c>
      <c r="D11" s="38">
        <v>-79.45</v>
      </c>
      <c r="E11" s="38">
        <v>-195.87</v>
      </c>
      <c r="F11" s="38">
        <v>-274.23</v>
      </c>
      <c r="G11" s="38">
        <v>-1242.0899999999999</v>
      </c>
      <c r="I11" s="52" t="s">
        <v>20</v>
      </c>
      <c r="J11" s="44">
        <f>J9+J10</f>
        <v>0</v>
      </c>
      <c r="K11" s="44">
        <f>K9+K10</f>
        <v>1203.54</v>
      </c>
      <c r="L11" s="44">
        <f>L9+L10</f>
        <v>2068.08</v>
      </c>
      <c r="M11" s="44">
        <f>M9+M10</f>
        <v>3600.49</v>
      </c>
      <c r="N11" s="44">
        <f>N9+N10</f>
        <v>4843.13</v>
      </c>
    </row>
    <row r="12" spans="2:19" x14ac:dyDescent="0.35">
      <c r="B12" s="38" t="s">
        <v>131</v>
      </c>
      <c r="C12" s="38">
        <v>277.67</v>
      </c>
      <c r="D12" s="38">
        <v>238.27</v>
      </c>
      <c r="E12" s="38">
        <v>337.29</v>
      </c>
      <c r="F12" s="38">
        <v>397.15</v>
      </c>
      <c r="G12" s="38">
        <v>375.06</v>
      </c>
      <c r="I12" s="52" t="s">
        <v>21</v>
      </c>
      <c r="J12" s="44">
        <f>+J7+J49</f>
        <v>1906.33</v>
      </c>
      <c r="K12" s="44">
        <f>+K7+K49</f>
        <v>2170.1999999999998</v>
      </c>
      <c r="L12" s="44">
        <f t="shared" ref="L12:M12" si="4">+L7+L49</f>
        <v>2782.27</v>
      </c>
      <c r="M12" s="44">
        <f t="shared" si="4"/>
        <v>4184.28</v>
      </c>
      <c r="N12" s="44">
        <f t="shared" ref="N12" si="5">+N7+N49</f>
        <v>4925.8900000000003</v>
      </c>
    </row>
    <row r="13" spans="2:19" x14ac:dyDescent="0.35">
      <c r="B13" s="38" t="s">
        <v>132</v>
      </c>
      <c r="C13" s="38">
        <v>337.75</v>
      </c>
      <c r="D13" s="38">
        <v>387.22</v>
      </c>
      <c r="E13" s="38">
        <v>458.01</v>
      </c>
      <c r="F13" s="38">
        <v>516.49</v>
      </c>
      <c r="G13" s="38">
        <v>503.73</v>
      </c>
      <c r="I13" s="52" t="s">
        <v>21</v>
      </c>
      <c r="J13" s="44">
        <f>+J54-J39</f>
        <v>1906.3300000000002</v>
      </c>
      <c r="K13" s="44">
        <f>+K54-K39</f>
        <v>2170.1999999999998</v>
      </c>
      <c r="L13" s="44">
        <f t="shared" ref="L13:M13" si="6">+L54-L39</f>
        <v>2782.2700000000004</v>
      </c>
      <c r="M13" s="44">
        <f t="shared" si="6"/>
        <v>4247.2000000000007</v>
      </c>
      <c r="N13" s="44">
        <f t="shared" ref="N13" si="7">+N54-N39</f>
        <v>4992.46</v>
      </c>
      <c r="P13" s="67">
        <f>J12-J13</f>
        <v>0</v>
      </c>
      <c r="Q13" s="67">
        <f t="shared" ref="Q13:S13" si="8">K12-K13</f>
        <v>0</v>
      </c>
      <c r="R13" s="67">
        <f t="shared" si="8"/>
        <v>0</v>
      </c>
      <c r="S13" s="67">
        <f t="shared" si="8"/>
        <v>-62.920000000000982</v>
      </c>
    </row>
    <row r="14" spans="2:19" x14ac:dyDescent="0.35">
      <c r="B14" s="36" t="s">
        <v>3</v>
      </c>
      <c r="C14" s="44">
        <f>C5-C8</f>
        <v>494.11999999999898</v>
      </c>
      <c r="D14" s="44">
        <f>D5-D8</f>
        <v>499.00000000000182</v>
      </c>
      <c r="E14" s="44">
        <f>E5-E8</f>
        <v>714.61999999999898</v>
      </c>
      <c r="F14" s="44">
        <f>F5-F8</f>
        <v>1225.3399999999965</v>
      </c>
      <c r="G14" s="44">
        <f>G5-G8</f>
        <v>1357.5900000000001</v>
      </c>
      <c r="I14" s="38"/>
      <c r="J14" s="38"/>
      <c r="K14" s="38"/>
      <c r="L14" s="38"/>
      <c r="M14" s="38"/>
      <c r="N14" s="38"/>
    </row>
    <row r="15" spans="2:19" x14ac:dyDescent="0.35">
      <c r="B15" s="35" t="s">
        <v>0</v>
      </c>
      <c r="C15" s="45">
        <v>0</v>
      </c>
      <c r="D15" s="42">
        <f>D14/C14-1</f>
        <v>9.8761434469416542E-3</v>
      </c>
      <c r="E15" s="42">
        <f>E14/D14-1</f>
        <v>0.43210420841682651</v>
      </c>
      <c r="F15" s="42">
        <f>F14/E14-1</f>
        <v>0.71467353278665335</v>
      </c>
      <c r="G15" s="42"/>
      <c r="I15" s="52" t="s">
        <v>23</v>
      </c>
      <c r="J15" s="44">
        <f>SUM(J16:J26)</f>
        <v>1195.55</v>
      </c>
      <c r="K15" s="44">
        <f>SUM(K16:K26)</f>
        <v>1227.5999999999999</v>
      </c>
      <c r="L15" s="44">
        <f>SUM(L16:L26)</f>
        <v>1552.39</v>
      </c>
      <c r="M15" s="44">
        <f>SUM(M16:M26)</f>
        <v>2699.81</v>
      </c>
      <c r="N15" s="44">
        <f>SUM(N16:N26)</f>
        <v>3198.3099999999995</v>
      </c>
    </row>
    <row r="16" spans="2:19" x14ac:dyDescent="0.35">
      <c r="B16" s="35" t="s">
        <v>1</v>
      </c>
      <c r="C16" s="45">
        <v>0</v>
      </c>
      <c r="D16" s="45">
        <v>0</v>
      </c>
      <c r="E16" s="45">
        <v>0</v>
      </c>
      <c r="F16" s="43">
        <f>+((F14/C14)^(1/3)-1)</f>
        <v>0.35355131784424865</v>
      </c>
      <c r="G16" s="43"/>
      <c r="I16" s="51" t="s">
        <v>24</v>
      </c>
      <c r="J16" s="47">
        <v>877.83</v>
      </c>
      <c r="K16" s="47">
        <v>984.12</v>
      </c>
      <c r="L16" s="47">
        <v>1327.41</v>
      </c>
      <c r="M16" s="47">
        <v>1269.07</v>
      </c>
      <c r="N16" s="47">
        <v>2851.68</v>
      </c>
    </row>
    <row r="17" spans="2:18" x14ac:dyDescent="0.35">
      <c r="B17" s="53" t="s">
        <v>4</v>
      </c>
      <c r="C17" s="46">
        <f>C14/C5</f>
        <v>5.6756977172925341E-2</v>
      </c>
      <c r="D17" s="46">
        <f>D14/D5</f>
        <v>4.7548262916166581E-2</v>
      </c>
      <c r="E17" s="46">
        <f>E14/E5</f>
        <v>5.1678641032965295E-2</v>
      </c>
      <c r="F17" s="46">
        <f>F14/F5</f>
        <v>6.3545322209850708E-2</v>
      </c>
      <c r="G17" s="46">
        <f>G14/G5</f>
        <v>6.499909749409781E-2</v>
      </c>
      <c r="I17" s="51" t="s">
        <v>69</v>
      </c>
      <c r="J17" s="47">
        <v>105.57</v>
      </c>
      <c r="K17" s="47">
        <v>94.21</v>
      </c>
      <c r="L17" s="47">
        <v>74.23</v>
      </c>
      <c r="M17" s="47">
        <v>1077.5999999999999</v>
      </c>
      <c r="N17" s="47">
        <v>5.12</v>
      </c>
    </row>
    <row r="18" spans="2:18" x14ac:dyDescent="0.35">
      <c r="B18" s="38" t="s">
        <v>133</v>
      </c>
      <c r="C18" s="38">
        <v>58.8</v>
      </c>
      <c r="D18" s="38">
        <v>71.349999999999994</v>
      </c>
      <c r="E18" s="38">
        <v>76.8</v>
      </c>
      <c r="F18" s="38">
        <v>98.97</v>
      </c>
      <c r="G18" s="38">
        <v>121.41</v>
      </c>
      <c r="I18" s="51" t="s">
        <v>140</v>
      </c>
      <c r="J18" s="47">
        <v>93.29</v>
      </c>
      <c r="K18" s="47">
        <v>72.83</v>
      </c>
      <c r="L18" s="47">
        <v>56.68</v>
      </c>
      <c r="M18" s="47">
        <v>51.12</v>
      </c>
      <c r="N18" s="47">
        <v>38</v>
      </c>
    </row>
    <row r="19" spans="2:18" x14ac:dyDescent="0.35">
      <c r="B19" s="38" t="s">
        <v>134</v>
      </c>
      <c r="C19" s="38">
        <v>60.19</v>
      </c>
      <c r="D19" s="38">
        <v>81.91</v>
      </c>
      <c r="E19" s="38">
        <v>109.54</v>
      </c>
      <c r="F19" s="38">
        <v>140.02000000000001</v>
      </c>
      <c r="G19" s="38">
        <v>142.26</v>
      </c>
      <c r="I19" s="51" t="s">
        <v>141</v>
      </c>
      <c r="J19" s="47">
        <v>0.1</v>
      </c>
      <c r="K19" s="47">
        <v>17.260000000000002</v>
      </c>
      <c r="L19" s="47">
        <v>13.22</v>
      </c>
      <c r="M19" s="47">
        <v>10.48</v>
      </c>
      <c r="N19" s="47">
        <v>8.3699999999999992</v>
      </c>
    </row>
    <row r="20" spans="2:18" x14ac:dyDescent="0.35">
      <c r="B20" s="38" t="s">
        <v>135</v>
      </c>
      <c r="C20" s="38">
        <v>87.33</v>
      </c>
      <c r="D20" s="68">
        <v>133.74</v>
      </c>
      <c r="E20" s="38">
        <v>175.7</v>
      </c>
      <c r="F20" s="38">
        <v>279.99</v>
      </c>
      <c r="G20" s="38">
        <v>308.10000000000002</v>
      </c>
      <c r="I20" s="69" t="s">
        <v>25</v>
      </c>
      <c r="J20" s="47"/>
      <c r="K20" s="47"/>
      <c r="L20" s="47"/>
      <c r="M20" s="47"/>
      <c r="N20" s="47"/>
    </row>
    <row r="21" spans="2:18" x14ac:dyDescent="0.35">
      <c r="B21" s="36" t="s">
        <v>6</v>
      </c>
      <c r="C21" s="44">
        <f>C14+C18-C19-C20</f>
        <v>405.39999999999895</v>
      </c>
      <c r="D21" s="44">
        <f>D14+D18-D19-D20</f>
        <v>354.70000000000186</v>
      </c>
      <c r="E21" s="44">
        <f>E14+E18-E19-E20</f>
        <v>506.17999999999898</v>
      </c>
      <c r="F21" s="44">
        <f>F14+F18-F19-F20</f>
        <v>904.29999999999654</v>
      </c>
      <c r="G21" s="44">
        <f>G14+G18-G19-G20-16.16</f>
        <v>1012.4800000000004</v>
      </c>
      <c r="I21" s="51" t="s">
        <v>165</v>
      </c>
      <c r="J21" s="47"/>
      <c r="K21" s="47"/>
      <c r="L21" s="47"/>
      <c r="M21" s="47"/>
      <c r="N21" s="47"/>
      <c r="O21" s="34"/>
    </row>
    <row r="22" spans="2:18" x14ac:dyDescent="0.35">
      <c r="B22" s="38" t="s">
        <v>7</v>
      </c>
      <c r="C22" s="47">
        <v>129.69999999999999</v>
      </c>
      <c r="D22" s="47">
        <v>88.57</v>
      </c>
      <c r="E22" s="47">
        <v>132.69</v>
      </c>
      <c r="F22" s="47">
        <v>224.42</v>
      </c>
      <c r="G22" s="47">
        <v>256.49</v>
      </c>
      <c r="I22" s="51" t="s">
        <v>142</v>
      </c>
      <c r="J22" s="47"/>
      <c r="K22" s="47"/>
      <c r="L22" s="47"/>
      <c r="M22" s="47"/>
      <c r="N22" s="47"/>
    </row>
    <row r="23" spans="2:18" x14ac:dyDescent="0.35">
      <c r="B23" s="35" t="s">
        <v>8</v>
      </c>
      <c r="C23" s="48">
        <f>C22/C21</f>
        <v>0.31993093241243298</v>
      </c>
      <c r="D23" s="48">
        <f>D22/D21</f>
        <v>0.24970397519030033</v>
      </c>
      <c r="E23" s="48">
        <f>E22/E21</f>
        <v>0.26213995021533892</v>
      </c>
      <c r="F23" s="48">
        <f>-F22/F21</f>
        <v>-0.24816985513657067</v>
      </c>
      <c r="G23" s="48">
        <f>-G22/G21</f>
        <v>-0.25332846080910232</v>
      </c>
      <c r="I23" s="51" t="s">
        <v>139</v>
      </c>
      <c r="J23" s="47">
        <v>116.16</v>
      </c>
      <c r="K23" s="47">
        <v>19.22</v>
      </c>
      <c r="L23" s="47">
        <v>23.29</v>
      </c>
      <c r="M23" s="47">
        <v>36.369999999999997</v>
      </c>
      <c r="N23" s="47">
        <v>37.69</v>
      </c>
      <c r="P23" s="34"/>
      <c r="Q23" s="34"/>
      <c r="R23" s="34"/>
    </row>
    <row r="24" spans="2:18" x14ac:dyDescent="0.35">
      <c r="B24" s="36" t="s">
        <v>9</v>
      </c>
      <c r="C24" s="44">
        <f>C21-C22</f>
        <v>275.69999999999897</v>
      </c>
      <c r="D24" s="36">
        <f>D21-D22</f>
        <v>266.13000000000187</v>
      </c>
      <c r="E24" s="44">
        <f>E21-E22</f>
        <v>373.48999999999899</v>
      </c>
      <c r="F24" s="44">
        <f t="shared" ref="F24:G24" si="9">F21-F22</f>
        <v>679.87999999999658</v>
      </c>
      <c r="G24" s="44">
        <f t="shared" si="9"/>
        <v>755.99000000000035</v>
      </c>
      <c r="I24" s="51" t="s">
        <v>143</v>
      </c>
      <c r="J24" s="47"/>
      <c r="K24" s="47"/>
      <c r="L24" s="47"/>
      <c r="M24" s="47"/>
      <c r="N24" s="47"/>
    </row>
    <row r="25" spans="2:18" x14ac:dyDescent="0.35">
      <c r="B25" s="53" t="s">
        <v>10</v>
      </c>
      <c r="C25" s="46">
        <f>C24/C5</f>
        <v>3.1668215426567413E-2</v>
      </c>
      <c r="D25" s="46">
        <f>D24/D5</f>
        <v>2.5358755931622155E-2</v>
      </c>
      <c r="E25" s="46">
        <f>E24/E5</f>
        <v>2.7009397497134397E-2</v>
      </c>
      <c r="F25" s="46">
        <f>F24/F5</f>
        <v>3.5258127265928807E-2</v>
      </c>
      <c r="G25" s="46">
        <f>G24/G5</f>
        <v>3.6195513899309084E-2</v>
      </c>
      <c r="I25" s="51" t="s">
        <v>144</v>
      </c>
      <c r="J25" s="47"/>
      <c r="K25" s="47"/>
      <c r="L25" s="47"/>
      <c r="M25" s="47"/>
      <c r="N25" s="47"/>
    </row>
    <row r="26" spans="2:18" x14ac:dyDescent="0.35">
      <c r="B26" s="35" t="s">
        <v>1</v>
      </c>
      <c r="C26" s="45">
        <v>0</v>
      </c>
      <c r="D26" s="45">
        <v>0</v>
      </c>
      <c r="E26" s="45">
        <v>0</v>
      </c>
      <c r="F26" s="43">
        <f>+((F24/C24)^(1/3)-1)</f>
        <v>0.35103054062122196</v>
      </c>
      <c r="G26" s="43"/>
      <c r="I26" s="51" t="s">
        <v>145</v>
      </c>
      <c r="J26" s="47">
        <v>2.6</v>
      </c>
      <c r="K26" s="47">
        <v>39.96</v>
      </c>
      <c r="L26" s="47">
        <v>57.56</v>
      </c>
      <c r="M26" s="47">
        <v>255.17</v>
      </c>
      <c r="N26" s="47">
        <v>257.45</v>
      </c>
    </row>
    <row r="27" spans="2:18" x14ac:dyDescent="0.35">
      <c r="B27" s="38" t="s">
        <v>12</v>
      </c>
      <c r="C27" s="38">
        <v>1.44</v>
      </c>
      <c r="D27" s="38">
        <v>0.19</v>
      </c>
      <c r="E27" s="38">
        <v>-0.59</v>
      </c>
      <c r="F27" s="38">
        <v>-3.88</v>
      </c>
      <c r="G27" s="38"/>
      <c r="I27" s="38"/>
      <c r="J27" s="38"/>
      <c r="K27" s="38"/>
      <c r="L27" s="38"/>
      <c r="M27" s="38"/>
      <c r="N27" s="38"/>
    </row>
    <row r="28" spans="2:18" x14ac:dyDescent="0.35">
      <c r="B28" s="36" t="s">
        <v>164</v>
      </c>
      <c r="C28" s="44">
        <f>C24+C27</f>
        <v>277.13999999999896</v>
      </c>
      <c r="D28" s="36">
        <f>D24+D27</f>
        <v>266.32000000000187</v>
      </c>
      <c r="E28" s="44">
        <f>E24+E27</f>
        <v>372.89999999999901</v>
      </c>
      <c r="F28" s="44">
        <f>F24+F27</f>
        <v>675.99999999999659</v>
      </c>
      <c r="G28" s="44">
        <f>G24+G27</f>
        <v>755.99000000000035</v>
      </c>
      <c r="I28" s="52" t="s">
        <v>26</v>
      </c>
      <c r="J28" s="44">
        <f>SUM(J29:J37)</f>
        <v>2588.4200000000005</v>
      </c>
      <c r="K28" s="44">
        <f t="shared" ref="K28" si="10">SUM(K29:K37)</f>
        <v>2364.1600000000003</v>
      </c>
      <c r="L28" s="44">
        <f>SUM(L29:L37)</f>
        <v>3274.6900000000005</v>
      </c>
      <c r="M28" s="44">
        <f>SUM(M29:M37)</f>
        <v>4749.3200000000006</v>
      </c>
      <c r="N28" s="44">
        <f>SUM(N29:N37)</f>
        <v>6177.3899999999994</v>
      </c>
    </row>
    <row r="29" spans="2:18" x14ac:dyDescent="0.35">
      <c r="B29" s="35" t="s">
        <v>0</v>
      </c>
      <c r="C29" s="45">
        <v>0</v>
      </c>
      <c r="D29" s="42">
        <f>D28/C28-1</f>
        <v>-3.9041639604521672E-2</v>
      </c>
      <c r="E29" s="42">
        <f>E28/D28-1</f>
        <v>0.40019525382996535</v>
      </c>
      <c r="F29" s="42">
        <f>F28/E28-1</f>
        <v>0.81281844998658714</v>
      </c>
      <c r="G29" s="42"/>
      <c r="I29" s="51" t="s">
        <v>27</v>
      </c>
      <c r="J29" s="47">
        <v>1014.9</v>
      </c>
      <c r="K29" s="47">
        <v>1094.42</v>
      </c>
      <c r="L29" s="47">
        <v>1328.95</v>
      </c>
      <c r="M29" s="47">
        <v>2110.19</v>
      </c>
      <c r="N29" s="47">
        <v>2586.27</v>
      </c>
    </row>
    <row r="30" spans="2:18" x14ac:dyDescent="0.35">
      <c r="B30" s="35" t="s">
        <v>1</v>
      </c>
      <c r="C30" s="45">
        <v>0</v>
      </c>
      <c r="D30" s="45">
        <v>0</v>
      </c>
      <c r="E30" s="45">
        <v>0</v>
      </c>
      <c r="F30" s="43">
        <f>+((F28/C28)^(1/3)-1)</f>
        <v>0.34611602513260675</v>
      </c>
      <c r="G30" s="43"/>
      <c r="I30" s="69" t="s">
        <v>25</v>
      </c>
      <c r="J30" s="47"/>
      <c r="K30" s="47"/>
      <c r="L30" s="47"/>
      <c r="M30" s="47"/>
      <c r="N30" s="47"/>
    </row>
    <row r="31" spans="2:18" x14ac:dyDescent="0.35">
      <c r="B31" s="54" t="s">
        <v>13</v>
      </c>
      <c r="C31" s="49"/>
      <c r="D31" s="49"/>
      <c r="E31" s="49"/>
      <c r="F31" s="49"/>
      <c r="G31" s="49"/>
      <c r="I31" s="51" t="s">
        <v>121</v>
      </c>
      <c r="J31" s="47"/>
      <c r="K31" s="47"/>
      <c r="L31" s="47"/>
      <c r="M31" s="47"/>
      <c r="N31" s="47"/>
    </row>
    <row r="32" spans="2:18" x14ac:dyDescent="0.35">
      <c r="B32" s="38" t="s">
        <v>136</v>
      </c>
      <c r="C32" s="47">
        <v>4.8499999999999996</v>
      </c>
      <c r="D32" s="47">
        <v>4.68</v>
      </c>
      <c r="E32" s="47">
        <v>6.57</v>
      </c>
      <c r="F32" s="47">
        <v>11.97</v>
      </c>
      <c r="G32" s="47">
        <v>13.19</v>
      </c>
      <c r="I32" s="55" t="s">
        <v>28</v>
      </c>
      <c r="J32" s="47">
        <v>1307.8900000000001</v>
      </c>
      <c r="K32" s="47">
        <v>1094.48</v>
      </c>
      <c r="L32" s="47">
        <v>1591.55</v>
      </c>
      <c r="M32" s="47">
        <v>2239.13</v>
      </c>
      <c r="N32" s="47">
        <v>2971.39</v>
      </c>
    </row>
    <row r="33" spans="2:18" x14ac:dyDescent="0.35">
      <c r="B33" s="38" t="s">
        <v>137</v>
      </c>
      <c r="C33" s="47">
        <v>4.8499999999999996</v>
      </c>
      <c r="D33" s="47">
        <v>4.68</v>
      </c>
      <c r="E33" s="47">
        <v>6.57</v>
      </c>
      <c r="F33" s="47">
        <v>11.97</v>
      </c>
      <c r="G33" s="47">
        <v>13.18</v>
      </c>
      <c r="I33" s="55" t="s">
        <v>29</v>
      </c>
      <c r="J33" s="47">
        <v>27.15</v>
      </c>
      <c r="K33" s="47">
        <v>42.28</v>
      </c>
      <c r="L33" s="47">
        <v>156.21</v>
      </c>
      <c r="M33" s="47">
        <v>103.67</v>
      </c>
      <c r="N33" s="47">
        <v>85.89</v>
      </c>
    </row>
    <row r="34" spans="2:18" x14ac:dyDescent="0.35">
      <c r="B34" s="39" t="s">
        <v>0</v>
      </c>
      <c r="C34" s="45">
        <v>0</v>
      </c>
      <c r="D34" s="42">
        <f>D33/C33-1</f>
        <v>-3.5051546391752564E-2</v>
      </c>
      <c r="E34" s="42">
        <f>E33/D33-1</f>
        <v>0.40384615384615397</v>
      </c>
      <c r="F34" s="42">
        <f>F33/E33-1</f>
        <v>0.82191780821917804</v>
      </c>
      <c r="G34" s="42"/>
      <c r="I34" s="55" t="s">
        <v>30</v>
      </c>
      <c r="J34" s="47">
        <v>43.26</v>
      </c>
      <c r="K34" s="47">
        <v>25.88</v>
      </c>
      <c r="L34" s="47">
        <v>21.42</v>
      </c>
      <c r="M34" s="47">
        <v>6.39</v>
      </c>
      <c r="N34" s="47">
        <v>20</v>
      </c>
    </row>
    <row r="35" spans="2:18" x14ac:dyDescent="0.35">
      <c r="B35" s="39" t="s">
        <v>1</v>
      </c>
      <c r="C35" s="45">
        <v>0</v>
      </c>
      <c r="D35" s="45">
        <v>0</v>
      </c>
      <c r="E35" s="45">
        <v>0</v>
      </c>
      <c r="F35" s="43">
        <f>+((F33/C33)^(1/3)-1)</f>
        <v>0.35140069291371545</v>
      </c>
      <c r="G35" s="43"/>
      <c r="I35" s="55" t="s">
        <v>31</v>
      </c>
      <c r="J35" s="47"/>
      <c r="K35" s="47"/>
      <c r="L35" s="47"/>
      <c r="M35" s="47"/>
      <c r="N35" s="47"/>
    </row>
    <row r="36" spans="2:18" x14ac:dyDescent="0.35">
      <c r="I36" s="51" t="s">
        <v>122</v>
      </c>
      <c r="J36" s="47">
        <v>0.05</v>
      </c>
      <c r="K36" s="47">
        <v>1.02</v>
      </c>
      <c r="L36" s="47">
        <v>1.01</v>
      </c>
      <c r="M36" s="47">
        <v>1.26</v>
      </c>
      <c r="N36" s="47">
        <v>0.61</v>
      </c>
      <c r="P36" s="81"/>
    </row>
    <row r="37" spans="2:18" x14ac:dyDescent="0.35">
      <c r="B37" s="72" t="s">
        <v>158</v>
      </c>
      <c r="C37" s="71" t="s">
        <v>72</v>
      </c>
      <c r="D37" s="71" t="s">
        <v>124</v>
      </c>
      <c r="E37" s="71" t="s">
        <v>126</v>
      </c>
      <c r="F37" s="71" t="s">
        <v>127</v>
      </c>
      <c r="G37" s="71" t="s">
        <v>167</v>
      </c>
      <c r="I37" s="51" t="s">
        <v>32</v>
      </c>
      <c r="J37" s="47">
        <v>195.17</v>
      </c>
      <c r="K37" s="47">
        <v>106.08</v>
      </c>
      <c r="L37" s="47">
        <v>175.55</v>
      </c>
      <c r="M37" s="47">
        <v>288.68</v>
      </c>
      <c r="N37" s="47">
        <v>513.23</v>
      </c>
    </row>
    <row r="38" spans="2:18" x14ac:dyDescent="0.35">
      <c r="B38" s="56" t="s">
        <v>55</v>
      </c>
      <c r="C38" s="80">
        <v>129.88999999999999</v>
      </c>
      <c r="D38" s="63">
        <v>27.15</v>
      </c>
      <c r="E38" s="63">
        <v>42.28</v>
      </c>
      <c r="F38" s="63">
        <v>156.21</v>
      </c>
      <c r="G38" s="63">
        <v>103.67</v>
      </c>
      <c r="I38" s="38"/>
      <c r="J38" s="38"/>
      <c r="K38" s="38"/>
      <c r="L38" s="38"/>
      <c r="M38" s="38"/>
      <c r="N38" s="38"/>
      <c r="O38" s="34"/>
    </row>
    <row r="39" spans="2:18" x14ac:dyDescent="0.35">
      <c r="B39" s="38" t="s">
        <v>56</v>
      </c>
      <c r="C39" s="47">
        <v>-418.77</v>
      </c>
      <c r="D39" s="47">
        <v>620.89</v>
      </c>
      <c r="E39" s="47">
        <v>-172.32</v>
      </c>
      <c r="F39" s="47">
        <v>-97.74</v>
      </c>
      <c r="G39" s="47">
        <v>-456.85</v>
      </c>
      <c r="I39" s="52" t="s">
        <v>33</v>
      </c>
      <c r="J39" s="44">
        <f>SUM(J40:J46)</f>
        <v>1877.64</v>
      </c>
      <c r="K39" s="44">
        <f t="shared" ref="K39" si="11">SUM(K40:K46)</f>
        <v>1421.5600000000002</v>
      </c>
      <c r="L39" s="44">
        <f>SUM(L40:L46)</f>
        <v>2044.8100000000002</v>
      </c>
      <c r="M39" s="44">
        <f>SUM(M40:M46)</f>
        <v>3201.9300000000003</v>
      </c>
      <c r="N39" s="44">
        <f>SUM(N40:N46)</f>
        <v>4383.2399999999989</v>
      </c>
    </row>
    <row r="40" spans="2:18" x14ac:dyDescent="0.35">
      <c r="B40" s="38" t="s">
        <v>57</v>
      </c>
      <c r="C40" s="47">
        <v>-201.47</v>
      </c>
      <c r="D40" s="47">
        <v>-199.87</v>
      </c>
      <c r="E40" s="47">
        <v>-388.09</v>
      </c>
      <c r="F40" s="47">
        <v>-1183.6199999999999</v>
      </c>
      <c r="G40" s="47">
        <v>-624.6</v>
      </c>
      <c r="I40" s="69" t="s">
        <v>146</v>
      </c>
      <c r="J40" s="47"/>
      <c r="K40" s="47"/>
      <c r="L40" s="47"/>
      <c r="M40" s="47"/>
      <c r="N40" s="47"/>
      <c r="P40" s="34"/>
      <c r="Q40" s="34"/>
      <c r="R40" s="34"/>
    </row>
    <row r="41" spans="2:18" x14ac:dyDescent="0.35">
      <c r="B41" s="38" t="s">
        <v>58</v>
      </c>
      <c r="C41" s="47">
        <v>517.5</v>
      </c>
      <c r="D41" s="47">
        <v>-406.07</v>
      </c>
      <c r="E41" s="47">
        <v>674.32</v>
      </c>
      <c r="F41" s="47">
        <v>1228.9100000000001</v>
      </c>
      <c r="G41" s="47">
        <v>1063.5899999999999</v>
      </c>
      <c r="I41" s="51" t="s">
        <v>147</v>
      </c>
      <c r="J41" s="47">
        <v>1391.54</v>
      </c>
      <c r="K41" s="47">
        <v>1125.4100000000001</v>
      </c>
      <c r="L41" s="47">
        <v>1724.61</v>
      </c>
      <c r="M41" s="47">
        <v>2441.87</v>
      </c>
      <c r="N41" s="47">
        <v>3445.2</v>
      </c>
    </row>
    <row r="42" spans="2:18" x14ac:dyDescent="0.35">
      <c r="B42" s="62" t="s">
        <v>59</v>
      </c>
      <c r="C42" s="66">
        <f>C39+C40+C41</f>
        <v>-102.74000000000001</v>
      </c>
      <c r="D42" s="66">
        <f>D39+D40+D41+0.19</f>
        <v>15.139999999999988</v>
      </c>
      <c r="E42" s="66">
        <f t="shared" ref="E42" si="12">E39+E40+E41</f>
        <v>113.91000000000008</v>
      </c>
      <c r="F42" s="66">
        <f>F39+F40+F41-0.08</f>
        <v>-52.529999999999816</v>
      </c>
      <c r="G42" s="66">
        <f>G39+G40+G41-0.08</f>
        <v>-17.940000000000126</v>
      </c>
      <c r="I42" s="51" t="s">
        <v>148</v>
      </c>
      <c r="J42" s="47">
        <f>28.61+273.35</f>
        <v>301.96000000000004</v>
      </c>
      <c r="K42" s="47">
        <f>31.25+167.72</f>
        <v>198.97</v>
      </c>
      <c r="L42" s="47">
        <f>30.41+154.23</f>
        <v>184.64</v>
      </c>
      <c r="M42" s="47">
        <f>35.35+295.43</f>
        <v>330.78000000000003</v>
      </c>
      <c r="N42" s="47">
        <f>47.45+457.84</f>
        <v>505.28999999999996</v>
      </c>
    </row>
    <row r="43" spans="2:18" x14ac:dyDescent="0.35">
      <c r="B43" s="36" t="s">
        <v>60</v>
      </c>
      <c r="C43" s="44">
        <f>C38+C42</f>
        <v>27.149999999999977</v>
      </c>
      <c r="D43" s="36">
        <f>D38+D42</f>
        <v>42.289999999999985</v>
      </c>
      <c r="E43" s="44">
        <f>E38+E42</f>
        <v>156.19000000000008</v>
      </c>
      <c r="F43" s="44">
        <f>F38+F42</f>
        <v>103.68000000000019</v>
      </c>
      <c r="G43" s="44">
        <f>G38+G42</f>
        <v>85.729999999999876</v>
      </c>
      <c r="I43" s="51" t="s">
        <v>149</v>
      </c>
      <c r="J43" s="47">
        <f>103.45+17.61</f>
        <v>121.06</v>
      </c>
      <c r="K43" s="47">
        <f>15.38+27.73</f>
        <v>43.11</v>
      </c>
      <c r="L43" s="47">
        <f>50.19+25.98</f>
        <v>76.17</v>
      </c>
      <c r="M43" s="47">
        <f>33.25+127.96</f>
        <v>161.20999999999998</v>
      </c>
      <c r="N43" s="47">
        <f>35.56+85.54</f>
        <v>121.10000000000001</v>
      </c>
    </row>
    <row r="44" spans="2:18" x14ac:dyDescent="0.35">
      <c r="B44" s="72" t="s">
        <v>156</v>
      </c>
      <c r="C44" s="71" t="s">
        <v>72</v>
      </c>
      <c r="D44" s="71" t="s">
        <v>124</v>
      </c>
      <c r="E44" s="71" t="s">
        <v>126</v>
      </c>
      <c r="F44" s="71" t="s">
        <v>127</v>
      </c>
      <c r="G44" s="71" t="s">
        <v>167</v>
      </c>
      <c r="I44" s="51" t="s">
        <v>150</v>
      </c>
      <c r="J44" s="47">
        <v>11.49</v>
      </c>
      <c r="K44" s="47">
        <v>10.69</v>
      </c>
      <c r="L44" s="47">
        <v>22.38</v>
      </c>
      <c r="M44" s="47">
        <v>51.63</v>
      </c>
      <c r="N44" s="47">
        <v>108.05</v>
      </c>
    </row>
    <row r="45" spans="2:18" x14ac:dyDescent="0.35">
      <c r="B45" s="50" t="s">
        <v>61</v>
      </c>
      <c r="C45" s="47">
        <f>C39</f>
        <v>-418.77</v>
      </c>
      <c r="D45" s="47">
        <f>D39</f>
        <v>620.89</v>
      </c>
      <c r="E45" s="47">
        <f>E39</f>
        <v>-172.32</v>
      </c>
      <c r="F45" s="41">
        <f>F39</f>
        <v>-97.74</v>
      </c>
      <c r="G45" s="41">
        <f>G39</f>
        <v>-456.85</v>
      </c>
      <c r="I45" s="51" t="s">
        <v>70</v>
      </c>
      <c r="J45" s="47">
        <v>3.92</v>
      </c>
      <c r="K45" s="47">
        <v>5.17</v>
      </c>
      <c r="L45" s="47">
        <v>4.75</v>
      </c>
      <c r="M45" s="47">
        <v>9.7100000000000009</v>
      </c>
      <c r="N45" s="47">
        <v>25.53</v>
      </c>
      <c r="O45" s="34"/>
    </row>
    <row r="46" spans="2:18" x14ac:dyDescent="0.35">
      <c r="B46" s="50" t="s">
        <v>62</v>
      </c>
      <c r="C46" s="47"/>
      <c r="D46" s="47"/>
      <c r="E46" s="47"/>
      <c r="F46" s="38"/>
      <c r="G46" s="38"/>
      <c r="I46" s="51" t="s">
        <v>151</v>
      </c>
      <c r="J46" s="47">
        <v>47.67</v>
      </c>
      <c r="K46" s="47">
        <v>38.21</v>
      </c>
      <c r="L46" s="47">
        <v>32.26</v>
      </c>
      <c r="M46" s="47">
        <v>206.73</v>
      </c>
      <c r="N46" s="47">
        <v>178.07</v>
      </c>
    </row>
    <row r="47" spans="2:18" x14ac:dyDescent="0.35">
      <c r="B47" s="61" t="s">
        <v>155</v>
      </c>
      <c r="C47" s="44">
        <f>C45+C46</f>
        <v>-418.77</v>
      </c>
      <c r="D47" s="44">
        <f t="shared" ref="D47:F47" si="13">D45+D46</f>
        <v>620.89</v>
      </c>
      <c r="E47" s="44">
        <f t="shared" si="13"/>
        <v>-172.32</v>
      </c>
      <c r="F47" s="44">
        <f t="shared" si="13"/>
        <v>-97.74</v>
      </c>
      <c r="G47" s="44">
        <f t="shared" ref="G47" si="14">G45+G46</f>
        <v>-456.85</v>
      </c>
      <c r="I47" s="52" t="s">
        <v>34</v>
      </c>
      <c r="J47" s="44">
        <f>J28-J39</f>
        <v>710.78000000000043</v>
      </c>
      <c r="K47" s="44">
        <f>K28-K39</f>
        <v>942.60000000000014</v>
      </c>
      <c r="L47" s="44">
        <f>L28-L39</f>
        <v>1229.8800000000003</v>
      </c>
      <c r="M47" s="44">
        <f>M28-M39</f>
        <v>1547.3900000000003</v>
      </c>
      <c r="N47" s="44">
        <f>N28-N39</f>
        <v>1794.1500000000005</v>
      </c>
      <c r="P47" s="34"/>
      <c r="Q47" s="34"/>
      <c r="R47" s="34"/>
    </row>
    <row r="48" spans="2:18" x14ac:dyDescent="0.35">
      <c r="I48" s="38"/>
      <c r="J48" s="38"/>
      <c r="K48" s="38"/>
      <c r="L48" s="38"/>
      <c r="M48" s="38"/>
      <c r="N48" s="38"/>
    </row>
    <row r="49" spans="2:19" x14ac:dyDescent="0.35">
      <c r="B49" s="72" t="s">
        <v>160</v>
      </c>
      <c r="C49" s="71" t="s">
        <v>72</v>
      </c>
      <c r="D49" s="71" t="s">
        <v>124</v>
      </c>
      <c r="E49" s="71" t="s">
        <v>126</v>
      </c>
      <c r="F49" s="71" t="s">
        <v>127</v>
      </c>
      <c r="G49" s="71" t="s">
        <v>166</v>
      </c>
      <c r="I49" s="52" t="s">
        <v>123</v>
      </c>
      <c r="J49" s="44">
        <f>SUM(J51:J53)</f>
        <v>236.1</v>
      </c>
      <c r="K49" s="44">
        <f>SUM(K51:K53)</f>
        <v>233.65</v>
      </c>
      <c r="L49" s="44">
        <f>SUM(L51:L53)</f>
        <v>472.81</v>
      </c>
      <c r="M49" s="44">
        <f>SUM(M51:M53)</f>
        <v>1198.8199999999997</v>
      </c>
      <c r="N49" s="44">
        <f>SUM(N51:N53)</f>
        <v>1421.23</v>
      </c>
    </row>
    <row r="50" spans="2:19" x14ac:dyDescent="0.35">
      <c r="B50" s="28" t="s">
        <v>64</v>
      </c>
      <c r="C50" s="63"/>
      <c r="D50" s="65"/>
      <c r="E50" s="65"/>
      <c r="F50" s="79"/>
      <c r="G50" s="79">
        <v>67755700</v>
      </c>
      <c r="I50" s="69" t="s">
        <v>152</v>
      </c>
      <c r="J50" s="47"/>
      <c r="K50" s="47"/>
      <c r="L50" s="47"/>
      <c r="M50" s="47"/>
      <c r="N50" s="47"/>
    </row>
    <row r="51" spans="2:19" x14ac:dyDescent="0.35">
      <c r="B51" s="57" t="s">
        <v>125</v>
      </c>
      <c r="C51" s="64">
        <f>C50*J58/1000000</f>
        <v>0</v>
      </c>
      <c r="D51" s="64" t="s">
        <v>163</v>
      </c>
      <c r="E51" s="64" t="s">
        <v>163</v>
      </c>
      <c r="F51" s="64" t="s">
        <v>163</v>
      </c>
      <c r="G51" s="75">
        <f>G50*N58/1000000</f>
        <v>24209.11161</v>
      </c>
      <c r="I51" s="51" t="s">
        <v>153</v>
      </c>
      <c r="J51" s="47">
        <v>71.02</v>
      </c>
      <c r="K51" s="47">
        <v>78.13</v>
      </c>
      <c r="L51" s="47">
        <v>343.47</v>
      </c>
      <c r="M51" s="47">
        <v>1158.6199999999999</v>
      </c>
      <c r="N51" s="47">
        <v>1397.93</v>
      </c>
    </row>
    <row r="52" spans="2:19" x14ac:dyDescent="0.35">
      <c r="B52" s="38" t="s">
        <v>66</v>
      </c>
      <c r="C52" s="47">
        <f>J11</f>
        <v>0</v>
      </c>
      <c r="D52" s="47">
        <f>K11</f>
        <v>1203.54</v>
      </c>
      <c r="E52" s="47">
        <f>L11</f>
        <v>2068.08</v>
      </c>
      <c r="F52" s="47">
        <f>M11</f>
        <v>3600.49</v>
      </c>
      <c r="G52" s="75">
        <f>N11</f>
        <v>4843.13</v>
      </c>
      <c r="I52" s="51" t="s">
        <v>154</v>
      </c>
      <c r="J52" s="47">
        <v>88.81</v>
      </c>
      <c r="K52" s="47">
        <v>73.430000000000007</v>
      </c>
      <c r="L52" s="47">
        <v>47.45</v>
      </c>
      <c r="M52" s="47">
        <v>30.87</v>
      </c>
      <c r="N52" s="47">
        <v>12.72</v>
      </c>
    </row>
    <row r="53" spans="2:19" x14ac:dyDescent="0.35">
      <c r="B53" s="38" t="s">
        <v>67</v>
      </c>
      <c r="C53" s="47">
        <f>SUM(J33:J34)</f>
        <v>70.41</v>
      </c>
      <c r="D53" s="47">
        <f>SUM(K33:K34)</f>
        <v>68.16</v>
      </c>
      <c r="E53" s="47">
        <f>SUM(L33:L34)</f>
        <v>177.63</v>
      </c>
      <c r="F53" s="47">
        <f>SUM(M33:M34)</f>
        <v>110.06</v>
      </c>
      <c r="G53" s="75">
        <f>SUM(N33:N34)</f>
        <v>105.89</v>
      </c>
      <c r="I53" s="51" t="s">
        <v>70</v>
      </c>
      <c r="J53" s="47">
        <f>3.26+73.01</f>
        <v>76.27000000000001</v>
      </c>
      <c r="K53" s="47">
        <f>5.18+76.91</f>
        <v>82.09</v>
      </c>
      <c r="L53" s="47">
        <f>75.61+6.28</f>
        <v>81.89</v>
      </c>
      <c r="M53" s="47">
        <v>9.33</v>
      </c>
      <c r="N53" s="47">
        <v>10.58</v>
      </c>
    </row>
    <row r="54" spans="2:19" x14ac:dyDescent="0.35">
      <c r="B54" s="57" t="s">
        <v>68</v>
      </c>
      <c r="C54" s="47">
        <v>0</v>
      </c>
      <c r="D54" s="64" t="s">
        <v>163</v>
      </c>
      <c r="E54" s="64" t="s">
        <v>163</v>
      </c>
      <c r="F54" s="64" t="s">
        <v>163</v>
      </c>
      <c r="G54" s="75">
        <f>G51+G52-G53</f>
        <v>28946.351610000002</v>
      </c>
      <c r="I54" s="52" t="s">
        <v>35</v>
      </c>
      <c r="J54" s="44">
        <f>J28+J15</f>
        <v>3783.9700000000003</v>
      </c>
      <c r="K54" s="44">
        <f>K28+K15</f>
        <v>3591.76</v>
      </c>
      <c r="L54" s="44">
        <f>L28+L15</f>
        <v>4827.0800000000008</v>
      </c>
      <c r="M54" s="44">
        <f>M28+M15</f>
        <v>7449.130000000001</v>
      </c>
      <c r="N54" s="44">
        <f>N28+N15</f>
        <v>9375.6999999999989</v>
      </c>
    </row>
    <row r="55" spans="2:19" x14ac:dyDescent="0.35">
      <c r="I55" s="52" t="s">
        <v>162</v>
      </c>
      <c r="J55" s="44">
        <f>J39+J49+J7</f>
        <v>3783.9700000000003</v>
      </c>
      <c r="K55" s="44">
        <f t="shared" ref="K55:M55" si="15">K39+K49+K7</f>
        <v>3591.76</v>
      </c>
      <c r="L55" s="44">
        <f t="shared" si="15"/>
        <v>4827.08</v>
      </c>
      <c r="M55" s="44">
        <f t="shared" si="15"/>
        <v>7386.21</v>
      </c>
      <c r="N55" s="44">
        <f t="shared" ref="N55" si="16">N39+N49+N7</f>
        <v>9309.1299999999992</v>
      </c>
      <c r="P55" s="67">
        <f>J54-J55</f>
        <v>0</v>
      </c>
      <c r="Q55" s="67">
        <f t="shared" ref="Q55:S55" si="17">K54-K55</f>
        <v>0</v>
      </c>
      <c r="R55" s="67">
        <f t="shared" si="17"/>
        <v>0</v>
      </c>
      <c r="S55" s="67">
        <f t="shared" si="17"/>
        <v>62.920000000000982</v>
      </c>
    </row>
    <row r="57" spans="2:19" x14ac:dyDescent="0.35">
      <c r="I57" s="70" t="s">
        <v>159</v>
      </c>
      <c r="J57" s="71" t="s">
        <v>72</v>
      </c>
      <c r="K57" s="71" t="s">
        <v>124</v>
      </c>
      <c r="L57" s="71" t="s">
        <v>126</v>
      </c>
      <c r="M57" s="71" t="s">
        <v>127</v>
      </c>
      <c r="N57" s="71" t="s">
        <v>166</v>
      </c>
    </row>
    <row r="58" spans="2:19" x14ac:dyDescent="0.35">
      <c r="I58" s="58" t="s">
        <v>36</v>
      </c>
      <c r="J58" s="47">
        <v>0</v>
      </c>
      <c r="K58" s="82" t="s">
        <v>163</v>
      </c>
      <c r="L58" s="82" t="s">
        <v>163</v>
      </c>
      <c r="M58" s="82" t="s">
        <v>163</v>
      </c>
      <c r="N58" s="73">
        <v>357.3</v>
      </c>
      <c r="O58" s="34" t="s">
        <v>168</v>
      </c>
    </row>
    <row r="59" spans="2:19" x14ac:dyDescent="0.35">
      <c r="I59" s="58" t="s">
        <v>37</v>
      </c>
      <c r="J59" s="41">
        <f>C33</f>
        <v>4.8499999999999996</v>
      </c>
      <c r="K59" s="74">
        <f>D33</f>
        <v>4.68</v>
      </c>
      <c r="L59" s="74">
        <f>E33</f>
        <v>6.57</v>
      </c>
      <c r="M59" s="74">
        <f>F33</f>
        <v>11.97</v>
      </c>
      <c r="N59" s="74">
        <f>F33+G33-8.72</f>
        <v>16.43</v>
      </c>
      <c r="O59" t="s">
        <v>169</v>
      </c>
    </row>
    <row r="60" spans="2:19" x14ac:dyDescent="0.35">
      <c r="I60" s="58" t="s">
        <v>38</v>
      </c>
      <c r="J60" s="64">
        <v>0</v>
      </c>
      <c r="K60" s="82" t="s">
        <v>163</v>
      </c>
      <c r="L60" s="82" t="s">
        <v>163</v>
      </c>
      <c r="M60" s="82" t="s">
        <v>163</v>
      </c>
      <c r="N60" s="76">
        <f>N7*1000000/G50</f>
        <v>51.724947126219647</v>
      </c>
      <c r="P60" s="34"/>
      <c r="Q60" s="34"/>
      <c r="R60" s="34"/>
    </row>
    <row r="61" spans="2:19" x14ac:dyDescent="0.35">
      <c r="I61" s="58" t="s">
        <v>39</v>
      </c>
      <c r="J61" s="47">
        <v>0</v>
      </c>
      <c r="K61" s="83">
        <v>0</v>
      </c>
      <c r="L61" s="83">
        <v>0</v>
      </c>
      <c r="M61" s="83">
        <v>0</v>
      </c>
      <c r="N61" s="77">
        <v>1</v>
      </c>
    </row>
    <row r="62" spans="2:19" x14ac:dyDescent="0.35">
      <c r="I62" s="58" t="s">
        <v>40</v>
      </c>
      <c r="J62" s="41">
        <f>J58/J59</f>
        <v>0</v>
      </c>
      <c r="K62" s="82" t="s">
        <v>163</v>
      </c>
      <c r="L62" s="82" t="s">
        <v>163</v>
      </c>
      <c r="M62" s="74" t="s">
        <v>163</v>
      </c>
      <c r="N62" s="74" t="s">
        <v>163</v>
      </c>
    </row>
    <row r="63" spans="2:19" x14ac:dyDescent="0.35">
      <c r="I63" s="58" t="s">
        <v>41</v>
      </c>
      <c r="J63" s="47">
        <v>0</v>
      </c>
      <c r="K63" s="83" t="s">
        <v>163</v>
      </c>
      <c r="L63" s="83" t="s">
        <v>163</v>
      </c>
      <c r="M63" s="83" t="s">
        <v>163</v>
      </c>
      <c r="N63" s="77">
        <f>N58/N60</f>
        <v>6.9076919330263129</v>
      </c>
    </row>
    <row r="64" spans="2:19" x14ac:dyDescent="0.35">
      <c r="I64" s="58" t="s">
        <v>42</v>
      </c>
      <c r="J64" s="41">
        <f>C54/C14</f>
        <v>0</v>
      </c>
      <c r="K64" s="82" t="s">
        <v>163</v>
      </c>
      <c r="L64" s="82" t="s">
        <v>163</v>
      </c>
      <c r="M64" s="82" t="s">
        <v>163</v>
      </c>
      <c r="N64" s="74" t="s">
        <v>163</v>
      </c>
    </row>
    <row r="65" spans="9:14" x14ac:dyDescent="0.35">
      <c r="I65" s="59" t="s">
        <v>43</v>
      </c>
      <c r="J65" s="37">
        <f>C24/J7</f>
        <v>0.16506708656891503</v>
      </c>
      <c r="K65" s="37">
        <f>D24/K7</f>
        <v>0.1374248018383217</v>
      </c>
      <c r="L65" s="37">
        <f>E24/L7</f>
        <v>0.16172178777722887</v>
      </c>
      <c r="M65" s="37">
        <f>F24/M7</f>
        <v>0.22773040000535816</v>
      </c>
      <c r="N65" s="78" t="s">
        <v>163</v>
      </c>
    </row>
    <row r="66" spans="9:14" x14ac:dyDescent="0.35">
      <c r="I66" s="59" t="s">
        <v>44</v>
      </c>
      <c r="J66" s="37">
        <f>(C14-C18)/J12</f>
        <v>0.22835500674070019</v>
      </c>
      <c r="K66" s="37">
        <f>(D14-D18)/K12</f>
        <v>0.19705557091512388</v>
      </c>
      <c r="L66" s="37">
        <f>(E14-E18)/L12</f>
        <v>0.2292444658498273</v>
      </c>
      <c r="M66" s="37">
        <f>(F14-F18)/M12</f>
        <v>0.2691908763275872</v>
      </c>
      <c r="N66" s="78" t="s">
        <v>163</v>
      </c>
    </row>
    <row r="67" spans="9:14" x14ac:dyDescent="0.35">
      <c r="I67" s="58" t="s">
        <v>45</v>
      </c>
      <c r="J67" s="40">
        <f>J11/J7</f>
        <v>0</v>
      </c>
      <c r="K67" s="40">
        <f t="shared" ref="K67:M67" si="18">K11/K7</f>
        <v>0.62148666442901035</v>
      </c>
      <c r="L67" s="40">
        <f t="shared" si="18"/>
        <v>0.89548206074147196</v>
      </c>
      <c r="M67" s="40">
        <f t="shared" si="18"/>
        <v>1.2060084543085487</v>
      </c>
      <c r="N67" s="76">
        <f t="shared" ref="N67" si="19">N11/N7</f>
        <v>1.381911512101031</v>
      </c>
    </row>
    <row r="68" spans="9:14" x14ac:dyDescent="0.35">
      <c r="I68" s="58" t="s">
        <v>46</v>
      </c>
      <c r="J68" s="40">
        <f>(J11-C53)/J7</f>
        <v>-4.2155870748340048E-2</v>
      </c>
      <c r="K68" s="40">
        <f>(K11-D53)/K7</f>
        <v>0.5862900518964137</v>
      </c>
      <c r="L68" s="40">
        <f>(L11-E53)/L7</f>
        <v>0.81856797692967176</v>
      </c>
      <c r="M68" s="40">
        <f>(M11-F53)/M7</f>
        <v>1.1691431136240311</v>
      </c>
      <c r="N68" s="76">
        <f>(N11-G53)/N7</f>
        <v>1.3516974542466313</v>
      </c>
    </row>
    <row r="69" spans="9:14" x14ac:dyDescent="0.35">
      <c r="I69" s="58" t="s">
        <v>47</v>
      </c>
      <c r="J69" s="47">
        <v>0</v>
      </c>
      <c r="K69" s="47">
        <v>0</v>
      </c>
      <c r="L69" s="47">
        <v>0</v>
      </c>
      <c r="M69" s="47">
        <v>0</v>
      </c>
      <c r="N69" s="77" t="s">
        <v>163</v>
      </c>
    </row>
    <row r="70" spans="9:14" x14ac:dyDescent="0.35">
      <c r="I70" s="58" t="s">
        <v>48</v>
      </c>
      <c r="J70" s="40">
        <f>AVERAGE(J32:J32)/C5*365</f>
        <v>54.834123794350731</v>
      </c>
      <c r="K70" s="40">
        <f>AVERAGE(J32:K32)/D5*365</f>
        <v>41.776963867131663</v>
      </c>
      <c r="L70" s="40">
        <f>AVERAGE(K32:L32)/E5*365</f>
        <v>35.449461786283777</v>
      </c>
      <c r="M70" s="40">
        <f>AVERAGE(L32:M32)/F5*365</f>
        <v>36.254817084333141</v>
      </c>
      <c r="N70" s="77" t="s">
        <v>163</v>
      </c>
    </row>
    <row r="71" spans="9:14" x14ac:dyDescent="0.35">
      <c r="I71" s="58" t="s">
        <v>49</v>
      </c>
      <c r="J71" s="40">
        <f>(AVERAGE(J42:J42)/SUM(C9:C11))*365</f>
        <v>14.508994451282526</v>
      </c>
      <c r="K71" s="40">
        <f>(AVERAGE(J42:K42)/SUM(D9:D11))*365</f>
        <v>9.7565263374709605</v>
      </c>
      <c r="L71" s="40">
        <f>(AVERAGE(K42:L42)/SUM(E9:E11))*365</f>
        <v>5.6833510171510033</v>
      </c>
      <c r="M71" s="40">
        <f>(AVERAGE(L42:M42)/SUM(F9:F11))*365</f>
        <v>5.4867256379072504</v>
      </c>
      <c r="N71" s="77" t="s">
        <v>163</v>
      </c>
    </row>
    <row r="72" spans="9:14" x14ac:dyDescent="0.35">
      <c r="I72" s="58" t="s">
        <v>50</v>
      </c>
      <c r="J72" s="40">
        <f>(AVERAGE(J29:J29)/SUM(C9:C11))*365</f>
        <v>48.765328085198803</v>
      </c>
      <c r="K72" s="40">
        <f>(AVERAGE(J29:K29)/SUM(D9:D11))*365</f>
        <v>41.082858152145498</v>
      </c>
      <c r="L72" s="40">
        <f>(AVERAGE(K29:L29)/SUM(E9:E11))*365</f>
        <v>35.903293330291767</v>
      </c>
      <c r="M72" s="40">
        <f>(AVERAGE(L29:M29)/SUM(F9:F11))*365</f>
        <v>36.610177351193862</v>
      </c>
      <c r="N72" s="77" t="s">
        <v>163</v>
      </c>
    </row>
    <row r="73" spans="9:14" x14ac:dyDescent="0.35">
      <c r="I73" s="58" t="s">
        <v>51</v>
      </c>
      <c r="J73" s="40">
        <f>J72+J70-J71</f>
        <v>89.090457428267001</v>
      </c>
      <c r="K73" s="40">
        <f t="shared" ref="K73:M73" si="20">K72+K70-K71</f>
        <v>73.103295681806202</v>
      </c>
      <c r="L73" s="40">
        <f t="shared" si="20"/>
        <v>65.66940409942454</v>
      </c>
      <c r="M73" s="40">
        <f t="shared" si="20"/>
        <v>67.378268797619739</v>
      </c>
      <c r="N73" s="77" t="s">
        <v>163</v>
      </c>
    </row>
    <row r="74" spans="9:14" x14ac:dyDescent="0.35">
      <c r="I74" s="58" t="s">
        <v>52</v>
      </c>
      <c r="J74" s="40">
        <f>J47/C5*365</f>
        <v>29.79990558116404</v>
      </c>
      <c r="K74" s="40">
        <f>K47/D5*365</f>
        <v>32.783431479046371</v>
      </c>
      <c r="L74" s="40">
        <f>L47/E5*365</f>
        <v>32.463214529781652</v>
      </c>
      <c r="M74" s="40">
        <f>M47/F5*365</f>
        <v>29.29001712913961</v>
      </c>
      <c r="N74" s="77" t="s">
        <v>163</v>
      </c>
    </row>
    <row r="75" spans="9:14" x14ac:dyDescent="0.35">
      <c r="I75" s="60" t="s">
        <v>53</v>
      </c>
      <c r="J75" s="37" t="e">
        <f>C20/J11</f>
        <v>#DIV/0!</v>
      </c>
      <c r="K75" s="37" t="s">
        <v>163</v>
      </c>
      <c r="L75" s="37" t="s">
        <v>163</v>
      </c>
      <c r="M75" s="37" t="s">
        <v>163</v>
      </c>
      <c r="N75" s="77" t="s">
        <v>163</v>
      </c>
    </row>
    <row r="76" spans="9:14" x14ac:dyDescent="0.35">
      <c r="I76" s="51" t="s">
        <v>54</v>
      </c>
      <c r="J76" s="40">
        <f>(C21+C20)/C20</f>
        <v>5.6421619145768798</v>
      </c>
      <c r="K76" s="40">
        <f>(D21+D20)/D20</f>
        <v>3.6521609092268719</v>
      </c>
      <c r="L76" s="40">
        <f>(E21+E20)/E20</f>
        <v>3.8809334092202561</v>
      </c>
      <c r="M76" s="40">
        <f>(F21+F20)/F20</f>
        <v>4.2297582056501897</v>
      </c>
      <c r="N76" s="77" t="s">
        <v>163</v>
      </c>
    </row>
    <row r="77" spans="9:14" x14ac:dyDescent="0.35">
      <c r="I77" s="60" t="s">
        <v>120</v>
      </c>
      <c r="J77" s="40">
        <f>C5/AVERAGE(J54)</f>
        <v>2.3007291284021805</v>
      </c>
      <c r="K77" s="40">
        <f>D5/AVERAGE(J54:K54)</f>
        <v>2.8457115431286124</v>
      </c>
      <c r="L77" s="40">
        <f>E5/AVERAGE(K54:L54)</f>
        <v>3.2850487715647283</v>
      </c>
      <c r="M77" s="40">
        <f>F5/AVERAGE(L54:M54)</f>
        <v>3.1415119161369831</v>
      </c>
      <c r="N77" s="77" t="s">
        <v>163</v>
      </c>
    </row>
  </sheetData>
  <mergeCells count="3">
    <mergeCell ref="B3:G3"/>
    <mergeCell ref="I3:N3"/>
    <mergeCell ref="B2:N2"/>
  </mergeCells>
  <phoneticPr fontId="15" type="noConversion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J70:M72 E53:G53" formulaRange="1"/>
    <ignoredError sqref="D42 F4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ColWidth="8.81640625" defaultRowHeight="14.5" x14ac:dyDescent="0.35"/>
  <cols>
    <col min="1" max="1" width="45" customWidth="1"/>
    <col min="2" max="10" width="15.1796875" customWidth="1"/>
  </cols>
  <sheetData>
    <row r="1" spans="1:11" x14ac:dyDescent="0.35">
      <c r="B1" s="1" t="s">
        <v>14</v>
      </c>
      <c r="C1" s="1" t="s">
        <v>72</v>
      </c>
      <c r="D1" s="1" t="s">
        <v>14</v>
      </c>
      <c r="E1" s="1" t="s">
        <v>72</v>
      </c>
      <c r="F1" s="1" t="s">
        <v>14</v>
      </c>
      <c r="G1" s="1" t="s">
        <v>72</v>
      </c>
      <c r="H1" s="1" t="s">
        <v>14</v>
      </c>
      <c r="I1" s="1" t="s">
        <v>72</v>
      </c>
      <c r="J1" s="1" t="s">
        <v>14</v>
      </c>
      <c r="K1" s="1" t="s">
        <v>72</v>
      </c>
    </row>
    <row r="2" spans="1:11" x14ac:dyDescent="0.35">
      <c r="A2" s="2" t="s">
        <v>73</v>
      </c>
      <c r="B2" s="91" t="s">
        <v>116</v>
      </c>
      <c r="C2" s="92"/>
      <c r="D2" s="91" t="s">
        <v>117</v>
      </c>
      <c r="E2" s="92"/>
      <c r="F2" s="91" t="s">
        <v>118</v>
      </c>
      <c r="G2" s="92"/>
      <c r="H2" s="93" t="s">
        <v>119</v>
      </c>
      <c r="I2" s="94"/>
      <c r="J2" s="91" t="s">
        <v>74</v>
      </c>
      <c r="K2" s="92"/>
    </row>
    <row r="3" spans="1:11" x14ac:dyDescent="0.35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 x14ac:dyDescent="0.35">
      <c r="A4" s="5" t="s">
        <v>75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 x14ac:dyDescent="0.35">
      <c r="A5" s="3" t="s">
        <v>76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 x14ac:dyDescent="0.35">
      <c r="A6" s="3" t="s">
        <v>77</v>
      </c>
      <c r="B6" s="6"/>
      <c r="C6" s="9" t="s">
        <v>71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 x14ac:dyDescent="0.35">
      <c r="A7" s="3" t="s">
        <v>78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 x14ac:dyDescent="0.35">
      <c r="A8" s="3" t="s">
        <v>79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 x14ac:dyDescent="0.35">
      <c r="A9" s="3" t="s">
        <v>80</v>
      </c>
      <c r="B9" s="6"/>
      <c r="C9" s="9" t="s">
        <v>71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 x14ac:dyDescent="0.35">
      <c r="A10" s="3" t="s">
        <v>78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 x14ac:dyDescent="0.35">
      <c r="A11" s="3" t="s">
        <v>81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 x14ac:dyDescent="0.35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 x14ac:dyDescent="0.35">
      <c r="A13" s="3" t="s">
        <v>82</v>
      </c>
      <c r="B13" s="6"/>
      <c r="C13" s="9" t="s">
        <v>71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 x14ac:dyDescent="0.35">
      <c r="A14" s="3" t="s">
        <v>78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 x14ac:dyDescent="0.35">
      <c r="A15" s="3" t="s">
        <v>83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 x14ac:dyDescent="0.35">
      <c r="A16" s="3" t="s">
        <v>13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 x14ac:dyDescent="0.35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 x14ac:dyDescent="0.35">
      <c r="A18" s="5" t="s">
        <v>84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 x14ac:dyDescent="0.35">
      <c r="A19" s="3" t="s">
        <v>85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 x14ac:dyDescent="0.35">
      <c r="A20" s="3" t="s">
        <v>66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 x14ac:dyDescent="0.35">
      <c r="A21" s="3" t="s">
        <v>86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 x14ac:dyDescent="0.35">
      <c r="A22" s="3" t="s">
        <v>87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 x14ac:dyDescent="0.35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 x14ac:dyDescent="0.35">
      <c r="A24" s="5" t="s">
        <v>88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 x14ac:dyDescent="0.35">
      <c r="A25" s="3" t="s">
        <v>89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 x14ac:dyDescent="0.35">
      <c r="A26" s="3" t="s">
        <v>63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 x14ac:dyDescent="0.35">
      <c r="A27" s="3" t="s">
        <v>90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 x14ac:dyDescent="0.35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 x14ac:dyDescent="0.35">
      <c r="A29" s="3" t="s">
        <v>91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 x14ac:dyDescent="0.35">
      <c r="A30" s="3" t="s">
        <v>65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 x14ac:dyDescent="0.35">
      <c r="A31" s="3" t="s">
        <v>92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 x14ac:dyDescent="0.35">
      <c r="A32" s="3" t="s">
        <v>93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 x14ac:dyDescent="0.35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 x14ac:dyDescent="0.35">
      <c r="A34" s="3" t="s">
        <v>94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 x14ac:dyDescent="0.35">
      <c r="A35" s="3" t="s">
        <v>47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 x14ac:dyDescent="0.35">
      <c r="A36" s="3" t="s">
        <v>95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 x14ac:dyDescent="0.35">
      <c r="A37" s="3" t="s">
        <v>96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 x14ac:dyDescent="0.35">
      <c r="A38" s="3" t="s">
        <v>97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 x14ac:dyDescent="0.35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 x14ac:dyDescent="0.35">
      <c r="A40" s="5" t="s">
        <v>98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 x14ac:dyDescent="0.35">
      <c r="A41" s="3" t="s">
        <v>99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 x14ac:dyDescent="0.35">
      <c r="A42" s="3" t="s">
        <v>100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 x14ac:dyDescent="0.35">
      <c r="A43" s="3" t="s">
        <v>101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 x14ac:dyDescent="0.35">
      <c r="A44" s="3" t="s">
        <v>102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 x14ac:dyDescent="0.35">
      <c r="A45" s="3" t="s">
        <v>103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 x14ac:dyDescent="0.35">
      <c r="A46" s="3" t="s">
        <v>104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 x14ac:dyDescent="0.35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 x14ac:dyDescent="0.35">
      <c r="A48" s="3" t="s">
        <v>105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 x14ac:dyDescent="0.35">
      <c r="A49" s="3" t="s">
        <v>106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 x14ac:dyDescent="0.35">
      <c r="A50" s="3" t="s">
        <v>107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 x14ac:dyDescent="0.35">
      <c r="A51" s="3" t="s">
        <v>108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 x14ac:dyDescent="0.35">
      <c r="A52" s="3" t="s">
        <v>109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 x14ac:dyDescent="0.35">
      <c r="A53" s="3" t="s">
        <v>110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 x14ac:dyDescent="0.35">
      <c r="A54" s="3" t="s">
        <v>111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 x14ac:dyDescent="0.35">
      <c r="A55" s="3" t="s">
        <v>112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 x14ac:dyDescent="0.35">
      <c r="A56" s="3" t="s">
        <v>113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 x14ac:dyDescent="0.35">
      <c r="A57" s="3" t="s">
        <v>104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 x14ac:dyDescent="0.35">
      <c r="A58" s="3" t="s">
        <v>114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 x14ac:dyDescent="0.35">
      <c r="A59" s="28" t="s">
        <v>115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2026-03-17T06:37:03Z</dcterms:modified>
</cp:coreProperties>
</file>