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A76BB54-8BAE-495D-8BCE-153BB16739F4}" xr6:coauthVersionLast="47" xr6:coauthVersionMax="47" xr10:uidLastSave="{00000000-0000-0000-0000-000000000000}"/>
  <bookViews>
    <workbookView xWindow="312" yWindow="1272" windowWidth="21816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1" l="1"/>
  <c r="G25" i="1"/>
  <c r="G26" i="1" l="1"/>
  <c r="G50" i="1"/>
  <c r="O48" i="1"/>
  <c r="L78" i="1"/>
  <c r="N63" i="1"/>
  <c r="O66" i="1" s="1"/>
  <c r="G53" i="1"/>
  <c r="G52" i="1"/>
  <c r="G44" i="1"/>
  <c r="G46" i="1" s="1"/>
  <c r="G40" i="1"/>
  <c r="G41" i="1" s="1"/>
  <c r="O44" i="1"/>
  <c r="O38" i="1"/>
  <c r="O27" i="1"/>
  <c r="O15" i="1"/>
  <c r="O11" i="1"/>
  <c r="O10" i="1"/>
  <c r="O9" i="1"/>
  <c r="O6" i="1"/>
  <c r="O8" i="1" s="1"/>
  <c r="O64" i="1" s="1"/>
  <c r="E45" i="1"/>
  <c r="F45" i="1"/>
  <c r="D44" i="1"/>
  <c r="E44" i="1"/>
  <c r="F44" i="1"/>
  <c r="C44" i="1"/>
  <c r="K11" i="1"/>
  <c r="L11" i="1"/>
  <c r="M11" i="1"/>
  <c r="K10" i="1"/>
  <c r="L10" i="1"/>
  <c r="M10" i="1"/>
  <c r="K9" i="1"/>
  <c r="L9" i="1"/>
  <c r="M9" i="1"/>
  <c r="N11" i="1"/>
  <c r="N10" i="1"/>
  <c r="N48" i="1"/>
  <c r="M48" i="1"/>
  <c r="F40" i="1"/>
  <c r="L38" i="1"/>
  <c r="M38" i="1"/>
  <c r="N38" i="1"/>
  <c r="K38" i="1"/>
  <c r="C26" i="1"/>
  <c r="D26" i="1"/>
  <c r="D7" i="1"/>
  <c r="D13" i="1" s="1"/>
  <c r="E26" i="1"/>
  <c r="F26" i="1"/>
  <c r="F46" i="1" l="1"/>
  <c r="E46" i="1"/>
  <c r="O13" i="1"/>
  <c r="O69" i="1"/>
  <c r="O12" i="1"/>
  <c r="O72" i="1" s="1"/>
  <c r="O54" i="1"/>
  <c r="O14" i="1" s="1"/>
  <c r="O53" i="1"/>
  <c r="O55" i="1"/>
  <c r="G7" i="1"/>
  <c r="G13" i="1" s="1"/>
  <c r="G20" i="1" s="1"/>
  <c r="G21" i="1" s="1"/>
  <c r="F33" i="1"/>
  <c r="F32" i="1"/>
  <c r="F7" i="1"/>
  <c r="F13" i="1" s="1"/>
  <c r="F16" i="1" s="1"/>
  <c r="F6" i="1"/>
  <c r="G51" i="1" l="1"/>
  <c r="G54" i="1" s="1"/>
  <c r="F20" i="1"/>
  <c r="F21" i="1" s="1"/>
  <c r="M63" i="1"/>
  <c r="N27" i="1"/>
  <c r="F52" i="1"/>
  <c r="N74" i="1"/>
  <c r="G16" i="1" l="1"/>
  <c r="E40" i="1"/>
  <c r="O70" i="1" l="1"/>
  <c r="N76" i="1"/>
  <c r="F53" i="1"/>
  <c r="D40" i="1"/>
  <c r="N15" i="1"/>
  <c r="N44" i="1"/>
  <c r="N53" i="1" s="1"/>
  <c r="N12" i="1"/>
  <c r="F51" i="1" s="1"/>
  <c r="N6" i="1"/>
  <c r="N13" i="1" s="1"/>
  <c r="L63" i="1"/>
  <c r="K78" i="1"/>
  <c r="L74" i="1"/>
  <c r="K74" i="1"/>
  <c r="K63" i="1"/>
  <c r="E53" i="1"/>
  <c r="D53" i="1"/>
  <c r="C53" i="1"/>
  <c r="E52" i="1"/>
  <c r="D52" i="1"/>
  <c r="C52" i="1"/>
  <c r="D45" i="1"/>
  <c r="C40" i="1"/>
  <c r="C41" i="1" s="1"/>
  <c r="D36" i="1" s="1"/>
  <c r="N75" i="1"/>
  <c r="L44" i="1"/>
  <c r="K44" i="1"/>
  <c r="E32" i="1"/>
  <c r="D32" i="1"/>
  <c r="M27" i="1"/>
  <c r="L27" i="1"/>
  <c r="K27" i="1"/>
  <c r="L15" i="1"/>
  <c r="K15" i="1"/>
  <c r="M12" i="1"/>
  <c r="L12" i="1"/>
  <c r="K12" i="1"/>
  <c r="C51" i="1" s="1"/>
  <c r="L75" i="1"/>
  <c r="C7" i="1"/>
  <c r="L6" i="1"/>
  <c r="K6" i="1"/>
  <c r="D5" i="1"/>
  <c r="K8" i="1" l="1"/>
  <c r="K55" i="1" s="1"/>
  <c r="K13" i="1"/>
  <c r="L8" i="1"/>
  <c r="L13" i="1"/>
  <c r="D41" i="1"/>
  <c r="E36" i="1" s="1"/>
  <c r="E41" i="1" s="1"/>
  <c r="F36" i="1" s="1"/>
  <c r="F41" i="1" s="1"/>
  <c r="N8" i="1"/>
  <c r="N55" i="1" s="1"/>
  <c r="L55" i="1"/>
  <c r="F5" i="1"/>
  <c r="N78" i="1"/>
  <c r="N77" i="1"/>
  <c r="L53" i="1"/>
  <c r="M44" i="1"/>
  <c r="M53" i="1" s="1"/>
  <c r="N80" i="1" s="1"/>
  <c r="D46" i="1"/>
  <c r="E7" i="1"/>
  <c r="N72" i="1"/>
  <c r="N71" i="1"/>
  <c r="M78" i="1"/>
  <c r="K54" i="1"/>
  <c r="K14" i="1" s="1"/>
  <c r="N54" i="1"/>
  <c r="N14" i="1" s="1"/>
  <c r="M6" i="1"/>
  <c r="M74" i="1"/>
  <c r="E5" i="1"/>
  <c r="D51" i="1"/>
  <c r="L72" i="1"/>
  <c r="L71" i="1"/>
  <c r="C71" i="1"/>
  <c r="K53" i="1"/>
  <c r="L54" i="1"/>
  <c r="L14" i="1" s="1"/>
  <c r="E51" i="1"/>
  <c r="M15" i="1"/>
  <c r="M54" i="1" s="1"/>
  <c r="M14" i="1" s="1"/>
  <c r="K75" i="1"/>
  <c r="K76" i="1"/>
  <c r="C13" i="1"/>
  <c r="F15" i="1" s="1"/>
  <c r="K72" i="1"/>
  <c r="L76" i="1"/>
  <c r="L77" i="1" s="1"/>
  <c r="K71" i="1"/>
  <c r="M8" i="1" l="1"/>
  <c r="M55" i="1" s="1"/>
  <c r="M13" i="1"/>
  <c r="N70" i="1"/>
  <c r="L80" i="1"/>
  <c r="M76" i="1"/>
  <c r="E13" i="1"/>
  <c r="F14" i="1" s="1"/>
  <c r="M75" i="1"/>
  <c r="M80" i="1"/>
  <c r="M71" i="1"/>
  <c r="K80" i="1"/>
  <c r="M72" i="1"/>
  <c r="K77" i="1"/>
  <c r="D16" i="1"/>
  <c r="D20" i="1"/>
  <c r="D21" i="1" s="1"/>
  <c r="D14" i="1"/>
  <c r="C16" i="1"/>
  <c r="C20" i="1"/>
  <c r="M77" i="1" l="1"/>
  <c r="E16" i="1"/>
  <c r="E14" i="1"/>
  <c r="E20" i="1"/>
  <c r="E21" i="1" s="1"/>
  <c r="F25" i="1"/>
  <c r="N69" i="1"/>
  <c r="K70" i="1"/>
  <c r="L70" i="1"/>
  <c r="M70" i="1" l="1"/>
  <c r="D25" i="1" l="1"/>
  <c r="E23" i="1"/>
  <c r="L69" i="1"/>
  <c r="F23" i="1"/>
  <c r="E25" i="1"/>
  <c r="M69" i="1"/>
  <c r="F28" i="1" l="1"/>
  <c r="E28" i="1"/>
  <c r="D28" i="1"/>
  <c r="F29" i="1"/>
  <c r="C25" i="1"/>
  <c r="D23" i="1"/>
  <c r="F24" i="1"/>
  <c r="K69" i="1"/>
  <c r="C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O6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Please use Closing price as on 31-12-2025.
</t>
        </r>
      </text>
    </comment>
    <comment ref="O6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It should be FY25+9M(FY26)-9M(FY25)
</t>
        </r>
      </text>
    </comment>
  </commentList>
</comments>
</file>

<file path=xl/sharedStrings.xml><?xml version="1.0" encoding="utf-8"?>
<sst xmlns="http://schemas.openxmlformats.org/spreadsheetml/2006/main" count="243" uniqueCount="121">
  <si>
    <t>INCOME STATEMENT</t>
  </si>
  <si>
    <t>BALANCE SHEET</t>
  </si>
  <si>
    <t>Y/E, Mar (Rs. mn)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</si>
  <si>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</si>
  <si>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</si>
  <si>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</si>
  <si>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</si>
  <si>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</si>
  <si>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</si>
  <si>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</si>
  <si>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</si>
  <si>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</si>
  <si>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</si>
  <si>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</si>
  <si>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</si>
  <si>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</si>
  <si>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</si>
  <si>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</si>
  <si>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</si>
  <si>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</si>
  <si>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</si>
  <si>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</si>
  <si>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</si>
  <si>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</si>
  <si>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</si>
  <si>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</si>
  <si>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</si>
  <si>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</si>
  <si>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</si>
  <si>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</si>
  <si>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</si>
  <si>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</si>
  <si>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</si>
  <si>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</si>
  <si>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</si>
  <si>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</si>
  <si>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</si>
  <si>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</si>
  <si>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</si>
  <si>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</si>
  <si>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</si>
  <si>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</si>
  <si>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</si>
  <si>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</si>
  <si>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</si>
  <si>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</si>
  <si>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</si>
  <si>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</si>
  <si>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</si>
  <si>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</si>
  <si>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</si>
  <si>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</si>
  <si>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</si>
  <si>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</si>
  <si>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</si>
  <si>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</si>
  <si>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</si>
  <si>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</si>
  <si>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</si>
  <si>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</si>
  <si>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</si>
  <si>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</si>
  <si>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</si>
  <si>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</si>
  <si>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</si>
  <si>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</si>
  <si>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</si>
  <si>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</si>
  <si>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</si>
  <si>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</si>
  <si>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</si>
  <si>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 xml:space="preserve">Operating Cash Inflow </t>
  </si>
  <si>
    <t>Capital Expenditure</t>
  </si>
  <si>
    <t>FCF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</si>
  <si>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</si>
  <si>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</si>
  <si>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</si>
  <si>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</si>
  <si>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</si>
  <si>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</si>
  <si>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</si>
  <si>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</si>
  <si>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</si>
  <si>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</si>
  <si>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</si>
  <si>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</si>
  <si>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</si>
  <si>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</si>
  <si>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</si>
  <si>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</si>
  <si>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</si>
  <si>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</si>
  <si>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</si>
  <si>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</si>
  <si>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</si>
  <si>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</si>
  <si>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</si>
  <si>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</si>
  <si>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</si>
  <si>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</si>
  <si>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</si>
  <si>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</si>
  <si>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</si>
  <si>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TTM EPS</t>
  </si>
  <si>
    <t>FY25</t>
  </si>
  <si>
    <t>Investment Property</t>
  </si>
  <si>
    <t>(i) Trade Recievables</t>
  </si>
  <si>
    <t>(ii) Investments</t>
  </si>
  <si>
    <t>Deffered Tax Assets(Net)</t>
  </si>
  <si>
    <t xml:space="preserve">(i) Investment </t>
  </si>
  <si>
    <t>Non CURRENT LIABILITIES &amp; PROVISIONS</t>
  </si>
  <si>
    <t>Financial Liabilities</t>
  </si>
  <si>
    <t>(i) Borrowings</t>
  </si>
  <si>
    <t>(ii) Other financial liabilities</t>
  </si>
  <si>
    <t>-</t>
  </si>
  <si>
    <t>(ii)Lease Liabilities</t>
  </si>
  <si>
    <t>Non-controlling Interest</t>
  </si>
  <si>
    <t>Total Equity</t>
  </si>
  <si>
    <t>H1-FY26</t>
  </si>
  <si>
    <t xml:space="preserve">H1-FY26 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</si>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</sst>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/>
    <xf numFmtId="0" fontId="0" fillId="0" borderId="1" xfId="0" applyBorder="1"/>
    <xf numFmtId="43" fontId="0" fillId="0" borderId="1" xfId="0" applyNumberFormat="1" applyBorder="1"/>
    <xf numFmtId="164" fontId="0" fillId="0" borderId="1" xfId="0" applyNumberFormat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3" xfId="0" applyBorder="1"/>
    <xf numFmtId="0" fontId="5" fillId="0" borderId="1" xfId="0" applyFont="1" applyBorder="1"/>
    <xf numFmtId="43" fontId="5" fillId="0" borderId="1" xfId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165" fontId="2" fillId="0" borderId="0" xfId="1" applyNumberFormat="1" applyFont="1" applyFill="1" applyBorder="1"/>
    <xf numFmtId="43" fontId="0" fillId="0" borderId="0" xfId="0" applyNumberFormat="1"/>
    <xf numFmtId="43" fontId="2" fillId="0" borderId="0" xfId="0" applyNumberFormat="1" applyFont="1"/>
    <xf numFmtId="43" fontId="0" fillId="0" borderId="1" xfId="1" applyFont="1" applyFill="1" applyBorder="1"/>
    <xf numFmtId="43" fontId="0" fillId="2" borderId="1" xfId="1" applyFont="1" applyFill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43" fontId="3" fillId="0" borderId="1" xfId="1" applyFont="1" applyFill="1" applyBorder="1"/>
    <xf numFmtId="165" fontId="0" fillId="0" borderId="1" xfId="1" applyNumberFormat="1" applyFont="1" applyFill="1" applyBorder="1"/>
    <xf numFmtId="3" fontId="0" fillId="0" borderId="1" xfId="0" applyNumberFormat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10" fontId="4" fillId="0" borderId="1" xfId="2" applyNumberFormat="1" applyFont="1" applyFill="1" applyBorder="1" applyAlignment="1">
      <alignment horizontal="right"/>
    </xf>
    <xf numFmtId="43" fontId="0" fillId="0" borderId="1" xfId="0" applyNumberFormat="1" applyBorder="1" applyAlignment="1">
      <alignment horizontal="right"/>
    </xf>
    <xf numFmtId="4" fontId="0" fillId="0" borderId="1" xfId="0" applyNumberFormat="1" applyBorder="1"/>
    <xf numFmtId="165" fontId="2" fillId="0" borderId="1" xfId="1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/>
    <xf numFmtId="0" fontId="2" fillId="3" borderId="1" xfId="0" applyFont="1" applyFill="1" applyBorder="1"/>
    <xf numFmtId="43" fontId="2" fillId="3" borderId="1" xfId="0" applyNumberFormat="1" applyFont="1" applyFill="1" applyBorder="1" applyAlignment="1">
      <alignment horizontal="right"/>
    </xf>
    <xf numFmtId="10" fontId="2" fillId="3" borderId="1" xfId="2" applyNumberFormat="1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right"/>
    </xf>
    <xf numFmtId="2" fontId="2" fillId="3" borderId="1" xfId="2" applyNumberFormat="1" applyFont="1" applyFill="1" applyBorder="1" applyAlignment="1">
      <alignment horizontal="right"/>
    </xf>
    <xf numFmtId="43" fontId="2" fillId="3" borderId="1" xfId="0" applyNumberFormat="1" applyFont="1" applyFill="1" applyBorder="1"/>
    <xf numFmtId="43" fontId="3" fillId="3" borderId="1" xfId="1" applyFont="1" applyFill="1" applyBorder="1"/>
    <xf numFmtId="43" fontId="2" fillId="3" borderId="1" xfId="1" applyFont="1" applyFill="1" applyBorder="1"/>
    <xf numFmtId="0" fontId="0" fillId="3" borderId="1" xfId="0" applyFill="1" applyBorder="1"/>
    <xf numFmtId="2" fontId="2" fillId="3" borderId="1" xfId="0" applyNumberFormat="1" applyFont="1" applyFill="1" applyBorder="1"/>
    <xf numFmtId="0" fontId="6" fillId="0" borderId="1" xfId="0" applyFont="1" applyBorder="1"/>
    <xf numFmtId="10" fontId="0" fillId="0" borderId="1" xfId="2" applyNumberFormat="1" applyFont="1" applyFill="1" applyBorder="1" applyAlignment="1">
      <alignment horizontal="right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/>
    <xf numFmtId="43" fontId="5" fillId="0" borderId="1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0" fontId="5" fillId="0" borderId="1" xfId="2" applyNumberFormat="1" applyFont="1" applyFill="1" applyBorder="1"/>
    <xf numFmtId="1" fontId="0" fillId="0" borderId="1" xfId="0" applyNumberFormat="1" applyBorder="1"/>
    <xf numFmtId="2" fontId="5" fillId="0" borderId="1" xfId="2" applyNumberFormat="1" applyFont="1" applyFill="1" applyBorder="1"/>
    <xf numFmtId="0" fontId="0" fillId="0" borderId="4" xfId="0" applyBorder="1"/>
    <xf numFmtId="2" fontId="0" fillId="0" borderId="4" xfId="0" applyNumberFormat="1" applyBorder="1"/>
    <xf numFmtId="2" fontId="5" fillId="3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43" fontId="5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right"/>
    </xf>
    <xf numFmtId="43" fontId="0" fillId="3" borderId="1" xfId="0" applyNumberFormat="1" applyFill="1" applyBorder="1" applyAlignment="1">
      <alignment horizontal="right"/>
    </xf>
    <xf numFmtId="10" fontId="5" fillId="3" borderId="1" xfId="2" applyNumberFormat="1" applyFont="1" applyFill="1" applyBorder="1"/>
    <xf numFmtId="2" fontId="5" fillId="3" borderId="1" xfId="0" applyNumberFormat="1" applyFont="1" applyFill="1" applyBorder="1"/>
    <xf numFmtId="10" fontId="0" fillId="3" borderId="1" xfId="2" applyNumberFormat="1" applyFont="1" applyFill="1" applyBorder="1" applyAlignment="1">
      <alignment horizontal="right"/>
    </xf>
    <xf numFmtId="1" fontId="0" fillId="3" borderId="1" xfId="0" applyNumberFormat="1" applyFill="1" applyBorder="1"/>
    <xf numFmtId="2" fontId="5" fillId="3" borderId="1" xfId="2" applyNumberFormat="1" applyFont="1" applyFill="1" applyBorder="1"/>
    <xf numFmtId="1" fontId="0" fillId="3" borderId="1" xfId="0" applyNumberFormat="1" applyFill="1" applyBorder="1" applyAlignment="1">
      <alignment horizontal="right"/>
    </xf>
    <xf numFmtId="2" fontId="0" fillId="3" borderId="4" xfId="0" applyNumberFormat="1" applyFill="1" applyBorder="1"/>
    <xf numFmtId="0" fontId="8" fillId="4" borderId="7" xfId="0" applyFont="1" applyFill="1" applyBorder="1"/>
    <xf numFmtId="0" fontId="8" fillId="4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80"/>
  <sheetViews>
    <sheetView tabSelected="1" topLeftCell="B1" zoomScale="70" zoomScaleNormal="70" workbookViewId="0">
      <pane xSplit="1" topLeftCell="C1" activePane="topRight" state="frozen"/>
      <selection activeCell="B1" sqref="B1"/>
      <selection pane="topRight" activeCell="O63" sqref="O63"/>
    </sheetView>
  </sheetViews>
  <sheetFormatPr defaultRowHeight="14.4" x14ac:dyDescent="0.3"/>
  <cols>
    <col min="2" max="2" width="45.33203125" customWidth="1"/>
    <col min="3" max="4" width="15.33203125" bestFit="1" customWidth="1"/>
    <col min="5" max="5" width="18" customWidth="1"/>
    <col min="6" max="6" width="15.33203125" customWidth="1"/>
    <col min="7" max="7" width="21.33203125" customWidth="1"/>
    <col min="8" max="8" width="9.88671875" bestFit="1" customWidth="1"/>
    <col min="9" max="9" width="39.109375" customWidth="1"/>
    <col min="10" max="10" width="11.5546875" hidden="1" customWidth="1"/>
    <col min="11" max="12" width="14.5546875" bestFit="1" customWidth="1"/>
    <col min="13" max="13" width="15.5546875" bestFit="1" customWidth="1"/>
    <col min="14" max="14" width="13.5546875" customWidth="1"/>
    <col min="15" max="15" width="12.5546875" customWidth="1"/>
  </cols>
  <sheetData>
    <row r="2" spans="2:16" x14ac:dyDescent="0.3">
      <c r="B2" s="77" t="s">
        <v>0</v>
      </c>
      <c r="C2" s="78"/>
      <c r="D2" s="78"/>
      <c r="E2" s="78"/>
      <c r="F2" s="78"/>
      <c r="G2" s="78"/>
      <c r="I2" s="79" t="s">
        <v>1</v>
      </c>
      <c r="J2" s="80"/>
      <c r="K2" s="80"/>
      <c r="L2" s="80"/>
      <c r="M2" s="80"/>
      <c r="N2" s="80"/>
    </row>
    <row r="3" spans="2:16" x14ac:dyDescent="0.3">
      <c r="B3" s="47" t="s">
        <v>2</v>
      </c>
      <c r="C3" s="48" t="s">
        <v>3</v>
      </c>
      <c r="D3" s="48" t="s">
        <v>4</v>
      </c>
      <c r="E3" s="48" t="s">
        <v>5</v>
      </c>
      <c r="F3" s="48" t="s">
        <v>104</v>
      </c>
      <c r="G3" s="48" t="s">
        <v>120</v>
      </c>
      <c r="I3" s="75" t="s">
        <v>2</v>
      </c>
      <c r="J3" s="76" t="s">
        <v>6</v>
      </c>
      <c r="K3" s="76" t="s">
        <v>3</v>
      </c>
      <c r="L3" s="76" t="s">
        <v>4</v>
      </c>
      <c r="M3" s="76" t="s">
        <v>5</v>
      </c>
      <c r="N3" s="76" t="s">
        <v>104</v>
      </c>
      <c r="O3" s="76" t="s">
        <v>118</v>
      </c>
    </row>
    <row r="4" spans="2:16" x14ac:dyDescent="0.3">
      <c r="B4" s="1" t="s">
        <v>7</v>
      </c>
      <c r="C4" s="28">
        <v>1713.0730000000001</v>
      </c>
      <c r="D4" s="28">
        <v>2303.6320000000001</v>
      </c>
      <c r="E4" s="28">
        <v>2578.7040000000002</v>
      </c>
      <c r="F4" s="28">
        <v>3506.4670000000001</v>
      </c>
      <c r="G4" s="28">
        <v>2813.1410000000001</v>
      </c>
      <c r="I4" s="2" t="s">
        <v>8</v>
      </c>
      <c r="J4" s="2"/>
      <c r="K4" s="2">
        <v>90.835999999999999</v>
      </c>
      <c r="L4" s="19">
        <v>428.74599999999998</v>
      </c>
      <c r="M4" s="19">
        <v>428.74599999999998</v>
      </c>
      <c r="N4" s="19">
        <v>428.74599999999998</v>
      </c>
      <c r="O4" s="19">
        <v>588.74599999999998</v>
      </c>
    </row>
    <row r="5" spans="2:16" x14ac:dyDescent="0.3">
      <c r="B5" s="34" t="s">
        <v>9</v>
      </c>
      <c r="C5" s="29" t="s">
        <v>90</v>
      </c>
      <c r="D5" s="29">
        <f>D4/C4-1</f>
        <v>0.34473662243231895</v>
      </c>
      <c r="E5" s="29">
        <f>E4/D4-1</f>
        <v>0.11940796099376993</v>
      </c>
      <c r="F5" s="29">
        <f>F4/E4-1</f>
        <v>0.35977878810441211</v>
      </c>
      <c r="G5" s="29"/>
      <c r="I5" s="2" t="s">
        <v>10</v>
      </c>
      <c r="J5" s="2"/>
      <c r="K5" s="2">
        <v>318.74099999999999</v>
      </c>
      <c r="L5" s="13">
        <v>181.321</v>
      </c>
      <c r="M5" s="19">
        <v>414.553</v>
      </c>
      <c r="N5" s="19">
        <v>609.81299999999999</v>
      </c>
      <c r="O5" s="19">
        <v>2051.4299999999998</v>
      </c>
    </row>
    <row r="6" spans="2:16" x14ac:dyDescent="0.3">
      <c r="B6" s="34" t="s">
        <v>11</v>
      </c>
      <c r="C6" s="29" t="s">
        <v>90</v>
      </c>
      <c r="D6" s="29" t="s">
        <v>90</v>
      </c>
      <c r="E6" s="29" t="s">
        <v>90</v>
      </c>
      <c r="F6" s="29">
        <f>(F4/C4)^(1/3)-1</f>
        <v>0.26969076840344575</v>
      </c>
      <c r="G6" s="29"/>
      <c r="I6" s="35" t="s">
        <v>12</v>
      </c>
      <c r="J6" s="35"/>
      <c r="K6" s="40">
        <f t="shared" ref="K6" si="0">K4+K5</f>
        <v>409.577</v>
      </c>
      <c r="L6" s="41">
        <f>L4+L5</f>
        <v>610.06700000000001</v>
      </c>
      <c r="M6" s="41">
        <f>M4+M5</f>
        <v>843.29899999999998</v>
      </c>
      <c r="N6" s="41">
        <f>N4+N5</f>
        <v>1038.559</v>
      </c>
      <c r="O6" s="41">
        <f>O4+O5</f>
        <v>2640.1759999999999</v>
      </c>
    </row>
    <row r="7" spans="2:16" x14ac:dyDescent="0.3">
      <c r="B7" s="35" t="s">
        <v>13</v>
      </c>
      <c r="C7" s="36">
        <f>SUM(C8:C12)</f>
        <v>1554.798</v>
      </c>
      <c r="D7" s="36">
        <f>SUM(D8:D12)</f>
        <v>2031.9849999999999</v>
      </c>
      <c r="E7" s="36">
        <f>SUM(E8:E12)</f>
        <v>2226.0909999999999</v>
      </c>
      <c r="F7" s="36">
        <f>SUM(F8:F12)</f>
        <v>3051.3789999999999</v>
      </c>
      <c r="G7" s="36">
        <f>SUM(G8:G12)</f>
        <v>2459.6609999999996</v>
      </c>
      <c r="I7" s="2" t="s">
        <v>116</v>
      </c>
      <c r="J7" s="2"/>
      <c r="K7" s="2">
        <v>27.995999999999999</v>
      </c>
      <c r="L7" s="2">
        <v>21.606000000000002</v>
      </c>
      <c r="M7" s="2">
        <v>16.382999999999999</v>
      </c>
      <c r="N7" s="25">
        <v>0</v>
      </c>
      <c r="O7" s="25"/>
    </row>
    <row r="8" spans="2:16" x14ac:dyDescent="0.3">
      <c r="B8" s="2" t="s">
        <v>15</v>
      </c>
      <c r="C8" s="30">
        <v>375.65300000000002</v>
      </c>
      <c r="D8" s="30">
        <v>624.11800000000005</v>
      </c>
      <c r="E8" s="30">
        <v>942.92</v>
      </c>
      <c r="F8" s="30">
        <v>707.923</v>
      </c>
      <c r="G8" s="30">
        <v>509.45</v>
      </c>
      <c r="I8" s="35" t="s">
        <v>117</v>
      </c>
      <c r="J8" s="35"/>
      <c r="K8" s="40">
        <f>K6+K7</f>
        <v>437.57299999999998</v>
      </c>
      <c r="L8" s="40">
        <f t="shared" ref="L8:O8" si="1">L6+L7</f>
        <v>631.673</v>
      </c>
      <c r="M8" s="40">
        <f t="shared" si="1"/>
        <v>859.68200000000002</v>
      </c>
      <c r="N8" s="40">
        <f t="shared" si="1"/>
        <v>1038.559</v>
      </c>
      <c r="O8" s="40">
        <f t="shared" si="1"/>
        <v>2640.1759999999999</v>
      </c>
    </row>
    <row r="9" spans="2:16" x14ac:dyDescent="0.3">
      <c r="B9" s="2" t="s">
        <v>17</v>
      </c>
      <c r="C9" s="30">
        <v>1039.5119999999999</v>
      </c>
      <c r="D9" s="30">
        <v>1102.652</v>
      </c>
      <c r="E9" s="30">
        <v>1000.022</v>
      </c>
      <c r="F9" s="30">
        <v>1787.0730000000001</v>
      </c>
      <c r="G9" s="30">
        <v>1671.7139999999999</v>
      </c>
      <c r="I9" s="2" t="s">
        <v>14</v>
      </c>
      <c r="J9" s="2"/>
      <c r="K9" s="5">
        <f t="shared" ref="K9:L9" si="2">K7</f>
        <v>27.995999999999999</v>
      </c>
      <c r="L9" s="5">
        <f t="shared" si="2"/>
        <v>21.606000000000002</v>
      </c>
      <c r="M9" s="5">
        <f>M7</f>
        <v>16.382999999999999</v>
      </c>
      <c r="N9" s="5">
        <v>0</v>
      </c>
      <c r="O9" s="5">
        <f>O7</f>
        <v>0</v>
      </c>
    </row>
    <row r="10" spans="2:16" x14ac:dyDescent="0.3">
      <c r="B10" s="4" t="s">
        <v>20</v>
      </c>
      <c r="C10" s="30">
        <v>-122.06100000000001</v>
      </c>
      <c r="D10" s="30">
        <v>-62.613999999999997</v>
      </c>
      <c r="E10" s="30">
        <v>-137.006</v>
      </c>
      <c r="F10" s="30">
        <v>15.064</v>
      </c>
      <c r="G10" s="30">
        <v>-186.09700000000001</v>
      </c>
      <c r="I10" s="2" t="s">
        <v>16</v>
      </c>
      <c r="J10" s="2"/>
      <c r="K10" s="5">
        <f t="shared" ref="K10:M10" si="3">K40</f>
        <v>21.061</v>
      </c>
      <c r="L10" s="5">
        <f t="shared" si="3"/>
        <v>67.108999999999995</v>
      </c>
      <c r="M10" s="5">
        <f t="shared" si="3"/>
        <v>46.143999999999998</v>
      </c>
      <c r="N10" s="5">
        <f>N40</f>
        <v>33.86</v>
      </c>
      <c r="O10" s="5">
        <f>O40</f>
        <v>10.32</v>
      </c>
    </row>
    <row r="11" spans="2:16" x14ac:dyDescent="0.3">
      <c r="B11" s="2" t="s">
        <v>22</v>
      </c>
      <c r="C11" s="30">
        <v>127.057</v>
      </c>
      <c r="D11" s="30">
        <v>169.94200000000001</v>
      </c>
      <c r="E11" s="30">
        <v>207.62299999999999</v>
      </c>
      <c r="F11" s="30">
        <v>223.55500000000001</v>
      </c>
      <c r="G11" s="30">
        <v>222.54499999999999</v>
      </c>
      <c r="I11" s="2" t="s">
        <v>18</v>
      </c>
      <c r="J11" s="2"/>
      <c r="K11" s="5">
        <f t="shared" ref="K11:M11" si="4">K46</f>
        <v>9.2690000000000001</v>
      </c>
      <c r="L11" s="5">
        <f t="shared" si="4"/>
        <v>180.25299999999999</v>
      </c>
      <c r="M11" s="5">
        <f t="shared" si="4"/>
        <v>387.97</v>
      </c>
      <c r="N11" s="5">
        <f>N46</f>
        <v>638.43799999999999</v>
      </c>
      <c r="O11" s="5">
        <f>O46</f>
        <v>151.982</v>
      </c>
    </row>
    <row r="12" spans="2:16" x14ac:dyDescent="0.3">
      <c r="B12" s="2" t="s">
        <v>23</v>
      </c>
      <c r="C12" s="30">
        <v>134.637</v>
      </c>
      <c r="D12" s="30">
        <v>197.887</v>
      </c>
      <c r="E12" s="30">
        <v>212.53200000000001</v>
      </c>
      <c r="F12" s="30">
        <v>317.76400000000001</v>
      </c>
      <c r="G12" s="30">
        <v>242.04900000000001</v>
      </c>
      <c r="I12" s="35" t="s">
        <v>19</v>
      </c>
      <c r="J12" s="35"/>
      <c r="K12" s="40">
        <f>K10+K11</f>
        <v>30.33</v>
      </c>
      <c r="L12" s="42">
        <f>L10+L11</f>
        <v>247.36199999999997</v>
      </c>
      <c r="M12" s="42">
        <f>M10+M11</f>
        <v>434.11400000000003</v>
      </c>
      <c r="N12" s="42">
        <f>N10+N11</f>
        <v>672.298</v>
      </c>
      <c r="O12" s="42">
        <f>O10+O11</f>
        <v>162.30199999999999</v>
      </c>
    </row>
    <row r="13" spans="2:16" x14ac:dyDescent="0.3">
      <c r="B13" s="35" t="s">
        <v>24</v>
      </c>
      <c r="C13" s="36">
        <f>C4-C7</f>
        <v>158.27500000000009</v>
      </c>
      <c r="D13" s="36">
        <f>D4-D7</f>
        <v>271.64700000000016</v>
      </c>
      <c r="E13" s="36">
        <f>E4-E7</f>
        <v>352.61300000000028</v>
      </c>
      <c r="F13" s="36">
        <f>F4-F7</f>
        <v>455.08800000000019</v>
      </c>
      <c r="G13" s="36">
        <f>G4-G7</f>
        <v>353.48000000000047</v>
      </c>
      <c r="I13" s="35" t="s">
        <v>21</v>
      </c>
      <c r="J13" s="35"/>
      <c r="K13" s="42">
        <f t="shared" ref="K13:M13" si="5">K6+K9+K38</f>
        <v>466.85799999999995</v>
      </c>
      <c r="L13" s="42">
        <f t="shared" si="5"/>
        <v>708.98400000000004</v>
      </c>
      <c r="M13" s="42">
        <f t="shared" si="5"/>
        <v>918.39400000000001</v>
      </c>
      <c r="N13" s="42">
        <f>N6+N9+N38</f>
        <v>1087.2860000000001</v>
      </c>
      <c r="O13" s="42">
        <f>O6+O9+O38</f>
        <v>2670.1410000000001</v>
      </c>
    </row>
    <row r="14" spans="2:16" x14ac:dyDescent="0.3">
      <c r="B14" s="34" t="s">
        <v>9</v>
      </c>
      <c r="C14" s="29" t="s">
        <v>90</v>
      </c>
      <c r="D14" s="29">
        <f>D13/C13-1</f>
        <v>0.71629758332017057</v>
      </c>
      <c r="E14" s="29">
        <f>E13/D13-1</f>
        <v>0.29805593288348509</v>
      </c>
      <c r="F14" s="29">
        <f>F13/E13-1</f>
        <v>0.29061605783110611</v>
      </c>
      <c r="G14" s="29"/>
      <c r="I14" s="35" t="s">
        <v>21</v>
      </c>
      <c r="J14" s="35"/>
      <c r="K14" s="42">
        <f t="shared" ref="K14:M14" si="6">K54-K44</f>
        <v>466.85500000000002</v>
      </c>
      <c r="L14" s="42">
        <f t="shared" si="6"/>
        <v>708.98499999999979</v>
      </c>
      <c r="M14" s="42">
        <f t="shared" si="6"/>
        <v>918.39100000000008</v>
      </c>
      <c r="N14" s="42">
        <f>N54-N44</f>
        <v>1087.2840000000003</v>
      </c>
      <c r="O14" s="42">
        <f>O54-O44</f>
        <v>2670.1409999999996</v>
      </c>
      <c r="P14" s="17"/>
    </row>
    <row r="15" spans="2:16" x14ac:dyDescent="0.3">
      <c r="B15" s="34" t="s">
        <v>11</v>
      </c>
      <c r="C15" s="29" t="s">
        <v>90</v>
      </c>
      <c r="D15" s="29" t="s">
        <v>90</v>
      </c>
      <c r="E15" s="29" t="s">
        <v>90</v>
      </c>
      <c r="F15" s="29">
        <f>(F13/C13)^(1/3)-1</f>
        <v>0.42198283479576082</v>
      </c>
      <c r="G15" s="29"/>
      <c r="I15" s="35" t="s">
        <v>25</v>
      </c>
      <c r="J15" s="35"/>
      <c r="K15" s="40">
        <f>SUM(K16:K26)</f>
        <v>158.94299999999998</v>
      </c>
      <c r="L15" s="42">
        <f>SUM(L16:L26)</f>
        <v>344.346</v>
      </c>
      <c r="M15" s="42">
        <f>SUM(M16:M26)</f>
        <v>408.12299999999999</v>
      </c>
      <c r="N15" s="42">
        <f>SUM(N16:N26)</f>
        <v>436.35500000000002</v>
      </c>
      <c r="O15" s="42">
        <f>SUM(O16:O26)</f>
        <v>837.6110000000001</v>
      </c>
    </row>
    <row r="16" spans="2:16" x14ac:dyDescent="0.3">
      <c r="B16" s="35" t="s">
        <v>27</v>
      </c>
      <c r="C16" s="37">
        <f>C13/C4</f>
        <v>9.2392443287589082E-2</v>
      </c>
      <c r="D16" s="37">
        <f>D13/D4</f>
        <v>0.11792117838265841</v>
      </c>
      <c r="E16" s="37">
        <f>E13/E4</f>
        <v>0.13674039362408413</v>
      </c>
      <c r="F16" s="37">
        <f>F13/F4</f>
        <v>0.1297853366365633</v>
      </c>
      <c r="G16" s="37">
        <f>G13/G4</f>
        <v>0.12565314003101888</v>
      </c>
      <c r="I16" s="2" t="s">
        <v>26</v>
      </c>
      <c r="J16" s="2">
        <v>3313.2420000000002</v>
      </c>
      <c r="K16" s="3">
        <v>26.010999999999999</v>
      </c>
      <c r="L16" s="19">
        <v>40.767000000000003</v>
      </c>
      <c r="M16" s="19">
        <v>64.659000000000006</v>
      </c>
      <c r="N16" s="19">
        <v>159.125</v>
      </c>
      <c r="O16" s="19">
        <v>166.16900000000001</v>
      </c>
    </row>
    <row r="17" spans="2:15" x14ac:dyDescent="0.3">
      <c r="B17" s="2" t="s">
        <v>29</v>
      </c>
      <c r="C17" s="30">
        <v>9.41</v>
      </c>
      <c r="D17" s="30">
        <v>16.48</v>
      </c>
      <c r="E17" s="30">
        <v>19.292000000000002</v>
      </c>
      <c r="F17" s="33">
        <v>30.227</v>
      </c>
      <c r="G17" s="33">
        <v>21.68</v>
      </c>
      <c r="I17" s="2" t="s">
        <v>30</v>
      </c>
      <c r="J17" s="2"/>
      <c r="K17" s="3" t="s">
        <v>114</v>
      </c>
      <c r="L17" s="19">
        <v>89.730999999999995</v>
      </c>
      <c r="M17" s="19">
        <v>94.932000000000002</v>
      </c>
      <c r="N17" s="19" t="s">
        <v>114</v>
      </c>
      <c r="O17" s="19">
        <v>1.137</v>
      </c>
    </row>
    <row r="18" spans="2:15" x14ac:dyDescent="0.3">
      <c r="B18" s="2" t="s">
        <v>31</v>
      </c>
      <c r="C18" s="30">
        <v>6.5570000000000004</v>
      </c>
      <c r="D18" s="30">
        <v>13.116</v>
      </c>
      <c r="E18" s="30">
        <v>37.414000000000001</v>
      </c>
      <c r="F18" s="30">
        <v>54.103999999999999</v>
      </c>
      <c r="G18" s="30">
        <v>32.189</v>
      </c>
      <c r="I18" s="2" t="s">
        <v>105</v>
      </c>
      <c r="J18" s="2"/>
      <c r="K18" s="3">
        <v>24.282</v>
      </c>
      <c r="L18" s="19">
        <v>26.542000000000002</v>
      </c>
      <c r="M18" s="19">
        <v>27.870999999999999</v>
      </c>
      <c r="N18" s="19">
        <v>28.738</v>
      </c>
      <c r="O18" s="19">
        <v>87.162999999999997</v>
      </c>
    </row>
    <row r="19" spans="2:15" x14ac:dyDescent="0.3">
      <c r="B19" s="2" t="s">
        <v>33</v>
      </c>
      <c r="C19" s="30">
        <v>7.4039999999999999</v>
      </c>
      <c r="D19" s="30">
        <v>19.832000000000001</v>
      </c>
      <c r="E19" s="30">
        <v>13.621</v>
      </c>
      <c r="F19" s="30">
        <v>19.026</v>
      </c>
      <c r="G19" s="30">
        <v>37.033999999999999</v>
      </c>
      <c r="I19" s="2" t="s">
        <v>28</v>
      </c>
      <c r="J19" s="2"/>
      <c r="K19" s="3">
        <v>26.853000000000002</v>
      </c>
      <c r="L19" s="19">
        <v>24.902999999999999</v>
      </c>
      <c r="M19" s="19">
        <v>21.64</v>
      </c>
      <c r="N19" s="19">
        <v>19.158999999999999</v>
      </c>
      <c r="O19" s="19">
        <v>17.417999999999999</v>
      </c>
    </row>
    <row r="20" spans="2:15" x14ac:dyDescent="0.3">
      <c r="B20" s="1" t="s">
        <v>35</v>
      </c>
      <c r="C20" s="28">
        <f t="shared" ref="C20" si="7">C13-C17-C18+C19</f>
        <v>149.7120000000001</v>
      </c>
      <c r="D20" s="28">
        <f>D13-D17-D18+D19</f>
        <v>261.88300000000015</v>
      </c>
      <c r="E20" s="28">
        <f>E13-E17-E18+E19</f>
        <v>309.52800000000025</v>
      </c>
      <c r="F20" s="28">
        <f>F13-F17-F18+F19</f>
        <v>389.78300000000024</v>
      </c>
      <c r="G20" s="28">
        <f>G13-G17-G18+G19</f>
        <v>336.64500000000044</v>
      </c>
      <c r="I20" s="2" t="s">
        <v>32</v>
      </c>
      <c r="J20" s="2"/>
      <c r="K20" s="3">
        <v>4.0190000000000001</v>
      </c>
      <c r="L20" s="19">
        <v>3.9780000000000002</v>
      </c>
      <c r="M20" s="19">
        <v>43.854999999999997</v>
      </c>
      <c r="N20" s="19">
        <v>43.234000000000002</v>
      </c>
      <c r="O20" s="19">
        <v>42.923000000000002</v>
      </c>
    </row>
    <row r="21" spans="2:15" x14ac:dyDescent="0.3">
      <c r="B21" s="2" t="s">
        <v>36</v>
      </c>
      <c r="C21" s="30">
        <f>C20-C22</f>
        <v>41.007000000000104</v>
      </c>
      <c r="D21" s="30">
        <f>D20-D22</f>
        <v>68.428000000000139</v>
      </c>
      <c r="E21" s="30">
        <f>E20-E22</f>
        <v>81.275000000000261</v>
      </c>
      <c r="F21" s="30">
        <f>F20-F22</f>
        <v>101.26500000000027</v>
      </c>
      <c r="G21" s="30">
        <f>G20-G22</f>
        <v>86.579000000000434</v>
      </c>
      <c r="I21" s="2" t="s">
        <v>34</v>
      </c>
      <c r="J21" s="2"/>
      <c r="K21" s="3"/>
      <c r="L21" s="20"/>
      <c r="M21" s="5"/>
      <c r="N21" s="5"/>
      <c r="O21" s="5"/>
    </row>
    <row r="22" spans="2:15" x14ac:dyDescent="0.3">
      <c r="B22" s="35" t="s">
        <v>38</v>
      </c>
      <c r="C22" s="36">
        <v>108.705</v>
      </c>
      <c r="D22" s="36">
        <v>193.45500000000001</v>
      </c>
      <c r="E22" s="36">
        <v>228.25299999999999</v>
      </c>
      <c r="F22" s="36">
        <v>288.51799999999997</v>
      </c>
      <c r="G22" s="36">
        <v>250.066</v>
      </c>
      <c r="H22" s="17"/>
      <c r="I22" s="6" t="s">
        <v>106</v>
      </c>
      <c r="J22" s="2"/>
      <c r="K22" s="3">
        <v>0.434</v>
      </c>
      <c r="L22" s="20" t="s">
        <v>114</v>
      </c>
      <c r="M22" s="5" t="s">
        <v>114</v>
      </c>
      <c r="N22" s="5" t="s">
        <v>114</v>
      </c>
      <c r="O22" s="5" t="s">
        <v>114</v>
      </c>
    </row>
    <row r="23" spans="2:15" x14ac:dyDescent="0.3">
      <c r="B23" s="34" t="s">
        <v>9</v>
      </c>
      <c r="C23" s="29" t="s">
        <v>90</v>
      </c>
      <c r="D23" s="29">
        <f>D22/C22-1</f>
        <v>0.77963295156616552</v>
      </c>
      <c r="E23" s="29">
        <f>E22/D22-1</f>
        <v>0.17987645705719668</v>
      </c>
      <c r="F23" s="29">
        <f>F22/E22-1</f>
        <v>0.26402719789006057</v>
      </c>
      <c r="G23" s="29" t="s">
        <v>90</v>
      </c>
      <c r="I23" s="6" t="s">
        <v>107</v>
      </c>
      <c r="J23" s="6"/>
      <c r="K23" s="3">
        <v>2.5000000000000001E-2</v>
      </c>
      <c r="L23" s="3">
        <v>2.5000000000000001E-2</v>
      </c>
      <c r="M23" s="19">
        <v>2.5000000000000001E-2</v>
      </c>
      <c r="N23" s="19">
        <v>0.01</v>
      </c>
      <c r="O23" s="19">
        <v>0.01</v>
      </c>
    </row>
    <row r="24" spans="2:15" x14ac:dyDescent="0.3">
      <c r="B24" s="34" t="s">
        <v>11</v>
      </c>
      <c r="C24" s="29" t="s">
        <v>90</v>
      </c>
      <c r="D24" s="29" t="s">
        <v>90</v>
      </c>
      <c r="E24" s="29" t="s">
        <v>90</v>
      </c>
      <c r="F24" s="29">
        <f>(F22/C22)^(1/3)-1</f>
        <v>0.3845473015891796</v>
      </c>
      <c r="G24" s="29" t="s">
        <v>90</v>
      </c>
      <c r="I24" s="6" t="s">
        <v>37</v>
      </c>
      <c r="J24" s="6"/>
      <c r="K24" s="3">
        <v>69.018000000000001</v>
      </c>
      <c r="L24" s="19">
        <v>142.81800000000001</v>
      </c>
      <c r="M24" s="19">
        <v>135.55699999999999</v>
      </c>
      <c r="N24" s="19">
        <v>156.22300000000001</v>
      </c>
      <c r="O24" s="19">
        <v>493.197</v>
      </c>
    </row>
    <row r="25" spans="2:15" x14ac:dyDescent="0.3">
      <c r="B25" s="35" t="s">
        <v>42</v>
      </c>
      <c r="C25" s="37">
        <f>C22/C4</f>
        <v>6.3456139930989516E-2</v>
      </c>
      <c r="D25" s="37">
        <f>D22/D4</f>
        <v>8.3978256943817414E-2</v>
      </c>
      <c r="E25" s="37">
        <f>E22/E4</f>
        <v>8.8514618195806874E-2</v>
      </c>
      <c r="F25" s="37">
        <f>F22/F4</f>
        <v>8.2281681247820093E-2</v>
      </c>
      <c r="G25" s="37">
        <f>G22/G4</f>
        <v>8.8892096059173711E-2</v>
      </c>
      <c r="H25" s="18"/>
      <c r="I25" s="6" t="s">
        <v>108</v>
      </c>
      <c r="J25" s="2"/>
      <c r="K25" s="3">
        <v>8.3010000000000002</v>
      </c>
      <c r="L25" s="19">
        <v>14.481999999999999</v>
      </c>
      <c r="M25" s="19">
        <v>18.484000000000002</v>
      </c>
      <c r="N25" s="19">
        <v>26.39</v>
      </c>
      <c r="O25" s="19">
        <v>26.117999999999999</v>
      </c>
    </row>
    <row r="26" spans="2:15" x14ac:dyDescent="0.3">
      <c r="B26" s="2" t="s">
        <v>43</v>
      </c>
      <c r="C26" s="30">
        <f>C27-C22</f>
        <v>0.50799999999999557</v>
      </c>
      <c r="D26" s="9">
        <f>D27-D22</f>
        <v>0.64499999999998181</v>
      </c>
      <c r="E26" s="9">
        <f>E27-E22</f>
        <v>-0.242999999999995</v>
      </c>
      <c r="F26" s="9">
        <f>F27-F22</f>
        <v>0.25200000000000955</v>
      </c>
      <c r="G26" s="9">
        <f>G27-G22</f>
        <v>-2.0670000000000073</v>
      </c>
      <c r="I26" s="2" t="s">
        <v>39</v>
      </c>
      <c r="J26" s="2"/>
      <c r="K26" s="3" t="s">
        <v>114</v>
      </c>
      <c r="L26" s="19">
        <v>1.1000000000000001</v>
      </c>
      <c r="M26" s="19">
        <v>1.1000000000000001</v>
      </c>
      <c r="N26" s="19">
        <v>3.476</v>
      </c>
      <c r="O26" s="19">
        <v>3.476</v>
      </c>
    </row>
    <row r="27" spans="2:15" x14ac:dyDescent="0.3">
      <c r="B27" s="35" t="s">
        <v>44</v>
      </c>
      <c r="C27" s="36">
        <v>109.21299999999999</v>
      </c>
      <c r="D27" s="36">
        <v>194.1</v>
      </c>
      <c r="E27" s="36">
        <v>228.01</v>
      </c>
      <c r="F27" s="38">
        <v>288.77</v>
      </c>
      <c r="G27" s="38">
        <v>247.999</v>
      </c>
      <c r="I27" s="35" t="s">
        <v>40</v>
      </c>
      <c r="J27" s="35"/>
      <c r="K27" s="40">
        <f t="shared" ref="K27" si="8">SUM(K28:K37)</f>
        <v>821.36300000000006</v>
      </c>
      <c r="L27" s="42">
        <f>SUM(L28:L37)</f>
        <v>1209.5219999999999</v>
      </c>
      <c r="M27" s="42">
        <f>SUM(M28:M37)</f>
        <v>1622.325</v>
      </c>
      <c r="N27" s="42">
        <f>SUM(N28:N37)</f>
        <v>1938.8520000000001</v>
      </c>
      <c r="O27" s="42">
        <f>SUM(O28:O37)</f>
        <v>2541.6409999999996</v>
      </c>
    </row>
    <row r="28" spans="2:15" x14ac:dyDescent="0.3">
      <c r="B28" s="45" t="s">
        <v>9</v>
      </c>
      <c r="C28" s="29" t="s">
        <v>90</v>
      </c>
      <c r="D28" s="46">
        <f>D27/C27-1</f>
        <v>0.77726094878814789</v>
      </c>
      <c r="E28" s="46">
        <f>E27/D27-1</f>
        <v>0.17470376094796491</v>
      </c>
      <c r="F28" s="46">
        <f>F27/E27-1</f>
        <v>0.26647954037103627</v>
      </c>
      <c r="G28" s="46"/>
      <c r="I28" s="2" t="s">
        <v>41</v>
      </c>
      <c r="J28" s="7">
        <v>1814.442</v>
      </c>
      <c r="K28" s="2">
        <v>316.73500000000001</v>
      </c>
      <c r="L28" s="19">
        <v>416.87200000000001</v>
      </c>
      <c r="M28" s="19">
        <v>585.39099999999996</v>
      </c>
      <c r="N28" s="19">
        <v>587.30700000000002</v>
      </c>
      <c r="O28" s="19">
        <v>705.36199999999997</v>
      </c>
    </row>
    <row r="29" spans="2:15" x14ac:dyDescent="0.3">
      <c r="B29" s="45" t="s">
        <v>47</v>
      </c>
      <c r="C29" s="29" t="s">
        <v>90</v>
      </c>
      <c r="D29" s="29" t="s">
        <v>90</v>
      </c>
      <c r="E29" s="29" t="s">
        <v>90</v>
      </c>
      <c r="F29" s="29">
        <f>(F27/C27)^(1/3)-1</f>
        <v>0.38279960012489389</v>
      </c>
      <c r="G29" s="29"/>
      <c r="I29" s="2" t="s">
        <v>34</v>
      </c>
      <c r="J29" s="2"/>
      <c r="K29" s="2"/>
      <c r="L29" s="20"/>
      <c r="M29" s="5"/>
      <c r="N29" s="5"/>
      <c r="O29" s="5"/>
    </row>
    <row r="30" spans="2:15" x14ac:dyDescent="0.3">
      <c r="B30" s="2"/>
      <c r="C30" s="2"/>
      <c r="D30" s="2"/>
      <c r="E30" s="2"/>
      <c r="F30" s="2"/>
      <c r="G30" s="2"/>
      <c r="I30" s="2" t="s">
        <v>109</v>
      </c>
      <c r="J30" s="2"/>
      <c r="K30" s="2">
        <v>31.698</v>
      </c>
      <c r="L30" s="19" t="s">
        <v>114</v>
      </c>
      <c r="M30" s="19" t="s">
        <v>114</v>
      </c>
      <c r="N30" s="19" t="s">
        <v>114</v>
      </c>
      <c r="O30" s="19"/>
    </row>
    <row r="31" spans="2:15" x14ac:dyDescent="0.3">
      <c r="B31" s="35" t="s">
        <v>50</v>
      </c>
      <c r="C31" s="39">
        <v>2.66</v>
      </c>
      <c r="D31" s="39">
        <v>4.66</v>
      </c>
      <c r="E31" s="39">
        <v>5.44</v>
      </c>
      <c r="F31" s="39">
        <v>6.74</v>
      </c>
      <c r="G31" s="39">
        <v>4.4800000000000004</v>
      </c>
      <c r="I31" s="8" t="s">
        <v>45</v>
      </c>
      <c r="J31" s="9">
        <v>2811.6170000000002</v>
      </c>
      <c r="K31" s="2">
        <v>348.548</v>
      </c>
      <c r="L31" s="19">
        <v>667.27300000000002</v>
      </c>
      <c r="M31" s="19">
        <v>903.029</v>
      </c>
      <c r="N31" s="19">
        <v>1074.075</v>
      </c>
      <c r="O31" s="19">
        <v>1088.229</v>
      </c>
    </row>
    <row r="32" spans="2:15" x14ac:dyDescent="0.3">
      <c r="B32" s="34" t="s">
        <v>9</v>
      </c>
      <c r="C32" s="29" t="s">
        <v>90</v>
      </c>
      <c r="D32" s="29">
        <f>D31/C31-1</f>
        <v>0.75187969924812026</v>
      </c>
      <c r="E32" s="29">
        <f>E31/D31-1</f>
        <v>0.16738197424892709</v>
      </c>
      <c r="F32" s="29">
        <f>F31/E31-1</f>
        <v>0.23897058823529416</v>
      </c>
      <c r="G32" s="29"/>
      <c r="I32" s="8" t="s">
        <v>46</v>
      </c>
      <c r="J32" s="8"/>
      <c r="K32" s="2">
        <v>19.933</v>
      </c>
      <c r="L32" s="13">
        <v>7.7039999999999997</v>
      </c>
      <c r="M32" s="19">
        <v>5.33</v>
      </c>
      <c r="N32" s="19">
        <v>6.2770000000000001</v>
      </c>
      <c r="O32" s="19">
        <v>137.869</v>
      </c>
    </row>
    <row r="33" spans="2:15" x14ac:dyDescent="0.3">
      <c r="B33" s="34" t="s">
        <v>11</v>
      </c>
      <c r="C33" s="29" t="s">
        <v>90</v>
      </c>
      <c r="D33" s="29" t="s">
        <v>90</v>
      </c>
      <c r="E33" s="29" t="s">
        <v>90</v>
      </c>
      <c r="F33" s="29">
        <f>(F31/C31)^(1/3)-1</f>
        <v>0.36330413921264881</v>
      </c>
      <c r="G33" s="29"/>
      <c r="I33" s="8" t="s">
        <v>48</v>
      </c>
      <c r="J33" s="8"/>
      <c r="K33" s="2" t="s">
        <v>114</v>
      </c>
      <c r="L33" s="13">
        <v>0.86599999999999999</v>
      </c>
      <c r="M33" s="19">
        <v>2.133</v>
      </c>
      <c r="N33" s="19">
        <v>19.797999999999998</v>
      </c>
      <c r="O33" s="19">
        <v>0</v>
      </c>
    </row>
    <row r="34" spans="2:15" x14ac:dyDescent="0.3">
      <c r="B34" s="2"/>
      <c r="C34" s="2"/>
      <c r="D34" s="2"/>
      <c r="E34" s="2"/>
      <c r="F34" s="2"/>
      <c r="G34" s="2"/>
      <c r="I34" s="2" t="s">
        <v>49</v>
      </c>
      <c r="J34" s="2"/>
      <c r="K34" s="2">
        <v>2.6709999999999998</v>
      </c>
      <c r="L34" s="19">
        <v>4.0149999999999997</v>
      </c>
      <c r="M34" s="19">
        <v>5.0439999999999996</v>
      </c>
      <c r="N34" s="19">
        <v>5.1820000000000004</v>
      </c>
      <c r="O34" s="19">
        <v>0.255</v>
      </c>
    </row>
    <row r="35" spans="2:15" x14ac:dyDescent="0.3">
      <c r="B35" s="47" t="s">
        <v>55</v>
      </c>
      <c r="C35" s="48" t="s">
        <v>3</v>
      </c>
      <c r="D35" s="48" t="s">
        <v>4</v>
      </c>
      <c r="E35" s="48" t="s">
        <v>5</v>
      </c>
      <c r="F35" s="76" t="s">
        <v>104</v>
      </c>
      <c r="G35" s="76" t="s">
        <v>118</v>
      </c>
      <c r="I35" s="8" t="s">
        <v>51</v>
      </c>
      <c r="J35" s="8"/>
      <c r="K35" s="2">
        <v>38.03</v>
      </c>
      <c r="L35" s="19">
        <v>49.948999999999998</v>
      </c>
      <c r="M35" s="19">
        <v>71.606999999999999</v>
      </c>
      <c r="N35" s="19">
        <v>75.835999999999999</v>
      </c>
      <c r="O35" s="19">
        <v>418.01600000000002</v>
      </c>
    </row>
    <row r="36" spans="2:15" x14ac:dyDescent="0.3">
      <c r="B36" s="10" t="s">
        <v>57</v>
      </c>
      <c r="C36" s="19">
        <v>9.7710000000000008</v>
      </c>
      <c r="D36" s="19">
        <f>C41</f>
        <v>19.933</v>
      </c>
      <c r="E36" s="19">
        <f>D41</f>
        <v>7.7039999999999864</v>
      </c>
      <c r="F36" s="13">
        <f>E41</f>
        <v>5.3299999999999912</v>
      </c>
      <c r="G36" s="13">
        <v>6.2770000000000001</v>
      </c>
      <c r="I36" s="2" t="s">
        <v>52</v>
      </c>
      <c r="J36" s="2"/>
      <c r="K36" s="2">
        <v>1.4330000000000001</v>
      </c>
      <c r="L36" s="19">
        <v>0.14899999999999999</v>
      </c>
      <c r="M36" s="19">
        <v>0.17699999999999999</v>
      </c>
      <c r="N36" s="19">
        <v>0.80700000000000005</v>
      </c>
      <c r="O36" s="19">
        <v>3.948</v>
      </c>
    </row>
    <row r="37" spans="2:15" ht="14.1" customHeight="1" x14ac:dyDescent="0.3">
      <c r="B37" s="2" t="s">
        <v>59</v>
      </c>
      <c r="C37" s="19">
        <v>41.625999999999998</v>
      </c>
      <c r="D37" s="19">
        <v>-135.03100000000001</v>
      </c>
      <c r="E37" s="19">
        <v>-78.018000000000001</v>
      </c>
      <c r="F37" s="31">
        <v>-54.622999999999998</v>
      </c>
      <c r="G37" s="31">
        <v>-127.379</v>
      </c>
      <c r="I37" s="2" t="s">
        <v>53</v>
      </c>
      <c r="J37" s="2"/>
      <c r="K37" s="2">
        <v>62.314999999999998</v>
      </c>
      <c r="L37" s="19">
        <v>62.694000000000003</v>
      </c>
      <c r="M37" s="19">
        <v>49.613999999999997</v>
      </c>
      <c r="N37" s="19">
        <v>169.57</v>
      </c>
      <c r="O37" s="19">
        <v>187.96199999999999</v>
      </c>
    </row>
    <row r="38" spans="2:15" x14ac:dyDescent="0.3">
      <c r="B38" s="2" t="s">
        <v>61</v>
      </c>
      <c r="C38" s="19">
        <v>-88.628</v>
      </c>
      <c r="D38" s="19">
        <v>-83.48</v>
      </c>
      <c r="E38" s="19">
        <v>-78.581999999999994</v>
      </c>
      <c r="F38" s="19">
        <v>-133.87100000000001</v>
      </c>
      <c r="G38" s="19">
        <v>-708.11</v>
      </c>
      <c r="I38" s="35" t="s">
        <v>110</v>
      </c>
      <c r="J38" s="43"/>
      <c r="K38" s="35">
        <f>SUM(K39:K43)</f>
        <v>29.284999999999997</v>
      </c>
      <c r="L38" s="35">
        <f t="shared" ref="L38:O38" si="9">SUM(L39:L43)</f>
        <v>77.310999999999993</v>
      </c>
      <c r="M38" s="44">
        <f t="shared" si="9"/>
        <v>58.712000000000003</v>
      </c>
      <c r="N38" s="44">
        <f t="shared" si="9"/>
        <v>48.727000000000004</v>
      </c>
      <c r="O38" s="44">
        <f t="shared" si="9"/>
        <v>29.965000000000003</v>
      </c>
    </row>
    <row r="39" spans="2:15" x14ac:dyDescent="0.3">
      <c r="B39" s="2" t="s">
        <v>63</v>
      </c>
      <c r="C39" s="19">
        <v>57.164000000000001</v>
      </c>
      <c r="D39" s="19">
        <v>206.28200000000001</v>
      </c>
      <c r="E39" s="19">
        <v>154.226</v>
      </c>
      <c r="F39" s="19">
        <v>189.44</v>
      </c>
      <c r="G39" s="19">
        <v>967.08100000000002</v>
      </c>
      <c r="I39" s="2" t="s">
        <v>111</v>
      </c>
      <c r="J39" s="2"/>
      <c r="K39" s="2"/>
      <c r="L39" s="2"/>
      <c r="M39" s="2"/>
      <c r="N39" s="2"/>
      <c r="O39" s="2"/>
    </row>
    <row r="40" spans="2:15" x14ac:dyDescent="0.3">
      <c r="B40" s="2" t="s">
        <v>65</v>
      </c>
      <c r="C40" s="19">
        <f t="shared" ref="C40" si="10">C37+C38+C39</f>
        <v>10.161999999999999</v>
      </c>
      <c r="D40" s="19">
        <f>D37+D38+D39</f>
        <v>-12.229000000000013</v>
      </c>
      <c r="E40" s="19">
        <f>E37+E38+E39</f>
        <v>-2.3739999999999952</v>
      </c>
      <c r="F40" s="19">
        <f>F37+F38+F39</f>
        <v>0.94599999999999795</v>
      </c>
      <c r="G40" s="19">
        <f>G37+G38+G39</f>
        <v>131.59199999999998</v>
      </c>
      <c r="I40" s="2" t="s">
        <v>112</v>
      </c>
      <c r="J40" s="2"/>
      <c r="K40" s="2">
        <v>21.061</v>
      </c>
      <c r="L40" s="19">
        <v>67.108999999999995</v>
      </c>
      <c r="M40" s="19">
        <v>46.143999999999998</v>
      </c>
      <c r="N40" s="2">
        <v>33.86</v>
      </c>
      <c r="O40" s="2">
        <v>10.32</v>
      </c>
    </row>
    <row r="41" spans="2:15" x14ac:dyDescent="0.3">
      <c r="B41" s="35" t="s">
        <v>67</v>
      </c>
      <c r="C41" s="40">
        <f>C36+C40</f>
        <v>19.933</v>
      </c>
      <c r="D41" s="40">
        <f>D36+D40</f>
        <v>7.7039999999999864</v>
      </c>
      <c r="E41" s="40">
        <f>E36+E40</f>
        <v>5.3299999999999912</v>
      </c>
      <c r="F41" s="40">
        <f>F36+F40</f>
        <v>6.2759999999999891</v>
      </c>
      <c r="G41" s="40">
        <f>G36+G40</f>
        <v>137.86899999999997</v>
      </c>
      <c r="I41" s="2" t="s">
        <v>115</v>
      </c>
      <c r="J41" s="2"/>
      <c r="K41" s="2">
        <v>1.1559999999999999</v>
      </c>
      <c r="L41" s="19">
        <v>0.57199999999999995</v>
      </c>
      <c r="M41" s="19"/>
      <c r="N41" s="2"/>
      <c r="O41" s="2"/>
    </row>
    <row r="42" spans="2:15" x14ac:dyDescent="0.3">
      <c r="E42" s="11"/>
      <c r="F42" s="60"/>
      <c r="G42" s="60"/>
      <c r="I42" s="2" t="s">
        <v>113</v>
      </c>
      <c r="J42" s="2"/>
      <c r="K42" s="2" t="s">
        <v>114</v>
      </c>
      <c r="L42" s="2"/>
      <c r="M42" s="2">
        <v>0.2</v>
      </c>
      <c r="N42" s="2">
        <v>0.2</v>
      </c>
      <c r="O42" s="2">
        <v>0.188</v>
      </c>
    </row>
    <row r="43" spans="2:15" x14ac:dyDescent="0.3">
      <c r="B43" s="47" t="s">
        <v>70</v>
      </c>
      <c r="C43" s="48" t="s">
        <v>3</v>
      </c>
      <c r="D43" s="48" t="s">
        <v>4</v>
      </c>
      <c r="E43" s="48" t="s">
        <v>5</v>
      </c>
      <c r="F43" s="48" t="s">
        <v>104</v>
      </c>
      <c r="G43" s="48" t="s">
        <v>119</v>
      </c>
      <c r="I43" s="2" t="s">
        <v>66</v>
      </c>
      <c r="J43" s="2"/>
      <c r="K43" s="2">
        <v>7.0679999999999996</v>
      </c>
      <c r="L43" s="2">
        <v>9.6300000000000008</v>
      </c>
      <c r="M43" s="2">
        <v>12.368</v>
      </c>
      <c r="N43" s="2">
        <v>14.667</v>
      </c>
      <c r="O43" s="2">
        <v>19.457000000000001</v>
      </c>
    </row>
    <row r="44" spans="2:15" x14ac:dyDescent="0.3">
      <c r="B44" s="23" t="s">
        <v>71</v>
      </c>
      <c r="C44" s="24">
        <f>C37</f>
        <v>41.625999999999998</v>
      </c>
      <c r="D44" s="24">
        <f t="shared" ref="D44:G44" si="11">D37</f>
        <v>-135.03100000000001</v>
      </c>
      <c r="E44" s="24">
        <f t="shared" si="11"/>
        <v>-78.018000000000001</v>
      </c>
      <c r="F44" s="24">
        <f t="shared" si="11"/>
        <v>-54.622999999999998</v>
      </c>
      <c r="G44" s="24">
        <f t="shared" si="11"/>
        <v>-127.379</v>
      </c>
      <c r="I44" s="35" t="s">
        <v>54</v>
      </c>
      <c r="J44" s="35"/>
      <c r="K44" s="40">
        <f>SUM(K46:K52)</f>
        <v>513.45100000000002</v>
      </c>
      <c r="L44" s="42">
        <f>SUM(L46:L52)</f>
        <v>844.88300000000015</v>
      </c>
      <c r="M44" s="42">
        <f>SUM(M46:M52)</f>
        <v>1112.057</v>
      </c>
      <c r="N44" s="42">
        <f>SUM(N46:N52)</f>
        <v>1287.923</v>
      </c>
      <c r="O44" s="42">
        <f>SUM(O46:O52)</f>
        <v>709.11099999999999</v>
      </c>
    </row>
    <row r="45" spans="2:15" x14ac:dyDescent="0.3">
      <c r="B45" s="12" t="s">
        <v>72</v>
      </c>
      <c r="C45" s="13"/>
      <c r="D45" s="13">
        <f>(L16-K16)+D17</f>
        <v>31.236000000000004</v>
      </c>
      <c r="E45" s="13">
        <f>-38.051-5.201-0.4-1.918+0.282</f>
        <v>-45.288000000000004</v>
      </c>
      <c r="F45" s="13">
        <f>-120.45+94.932-1.427+0.213</f>
        <v>-26.731999999999999</v>
      </c>
      <c r="G45" s="13"/>
      <c r="I45" s="2" t="s">
        <v>56</v>
      </c>
      <c r="J45" s="2"/>
      <c r="K45" s="2"/>
      <c r="L45" s="20"/>
      <c r="M45" s="5"/>
      <c r="N45" s="5"/>
      <c r="O45" s="5"/>
    </row>
    <row r="46" spans="2:15" x14ac:dyDescent="0.3">
      <c r="B46" s="23" t="s">
        <v>73</v>
      </c>
      <c r="C46" s="24"/>
      <c r="D46" s="24">
        <f>D44-D45</f>
        <v>-166.267</v>
      </c>
      <c r="E46" s="24">
        <f>E44+E45</f>
        <v>-123.30600000000001</v>
      </c>
      <c r="F46" s="24">
        <f>F44+F45</f>
        <v>-81.35499999999999</v>
      </c>
      <c r="G46" s="24">
        <f>G44+G45</f>
        <v>-127.379</v>
      </c>
      <c r="I46" s="2" t="s">
        <v>112</v>
      </c>
      <c r="J46" s="2">
        <v>4127.42</v>
      </c>
      <c r="K46" s="2">
        <v>9.2690000000000001</v>
      </c>
      <c r="L46" s="19">
        <v>180.25299999999999</v>
      </c>
      <c r="M46" s="19">
        <v>387.97</v>
      </c>
      <c r="N46" s="19">
        <v>638.43799999999999</v>
      </c>
      <c r="O46" s="19">
        <v>151.982</v>
      </c>
    </row>
    <row r="47" spans="2:15" x14ac:dyDescent="0.3">
      <c r="I47" s="2" t="s">
        <v>62</v>
      </c>
      <c r="J47" s="2"/>
      <c r="K47" s="2">
        <v>0.60799999999999998</v>
      </c>
      <c r="L47" s="19">
        <v>0.58099999999999996</v>
      </c>
      <c r="M47" s="19">
        <v>0.58199999999999996</v>
      </c>
      <c r="N47" s="19" t="s">
        <v>114</v>
      </c>
      <c r="O47" s="19"/>
    </row>
    <row r="48" spans="2:15" x14ac:dyDescent="0.3">
      <c r="B48" s="47" t="s">
        <v>70</v>
      </c>
      <c r="C48" s="48" t="s">
        <v>3</v>
      </c>
      <c r="D48" s="48" t="s">
        <v>4</v>
      </c>
      <c r="E48" s="48" t="s">
        <v>5</v>
      </c>
      <c r="F48" s="48" t="s">
        <v>104</v>
      </c>
      <c r="G48" s="48" t="s">
        <v>120</v>
      </c>
      <c r="I48" s="2" t="s">
        <v>58</v>
      </c>
      <c r="J48" s="2"/>
      <c r="K48" s="2">
        <v>476.178</v>
      </c>
      <c r="L48" s="19">
        <v>598.04100000000005</v>
      </c>
      <c r="M48" s="19">
        <f>44.854+598.11</f>
        <v>642.96400000000006</v>
      </c>
      <c r="N48" s="19">
        <f>60.416+516.867</f>
        <v>577.2829999999999</v>
      </c>
      <c r="O48" s="19">
        <f>62.346+432.266+15.048</f>
        <v>509.66</v>
      </c>
    </row>
    <row r="49" spans="2:16" x14ac:dyDescent="0.3">
      <c r="B49" s="2" t="s">
        <v>76</v>
      </c>
      <c r="C49" s="26" t="s">
        <v>90</v>
      </c>
      <c r="D49" s="26" t="s">
        <v>90</v>
      </c>
      <c r="E49" s="26" t="s">
        <v>90</v>
      </c>
      <c r="F49" s="26" t="s">
        <v>90</v>
      </c>
      <c r="G49" s="26">
        <v>58874592</v>
      </c>
      <c r="I49" s="2" t="s">
        <v>60</v>
      </c>
      <c r="J49" s="2"/>
      <c r="K49" s="2">
        <v>15.106999999999999</v>
      </c>
      <c r="L49" s="19">
        <v>8.6530000000000005</v>
      </c>
      <c r="M49" s="19">
        <v>23.254000000000001</v>
      </c>
      <c r="N49" s="2">
        <v>18.001000000000001</v>
      </c>
      <c r="O49" s="2">
        <v>23.009</v>
      </c>
    </row>
    <row r="50" spans="2:16" x14ac:dyDescent="0.3">
      <c r="B50" s="2" t="s">
        <v>77</v>
      </c>
      <c r="C50" s="27" t="s">
        <v>90</v>
      </c>
      <c r="D50" s="27" t="s">
        <v>90</v>
      </c>
      <c r="E50" s="27" t="s">
        <v>90</v>
      </c>
      <c r="F50" s="27" t="s">
        <v>90</v>
      </c>
      <c r="G50" s="27">
        <f>(G49*O62)/10^6</f>
        <v>10482.621105600001</v>
      </c>
      <c r="I50" s="2" t="s">
        <v>64</v>
      </c>
      <c r="J50" s="2"/>
      <c r="K50" s="2">
        <v>11.127000000000001</v>
      </c>
      <c r="L50" s="19">
        <v>37.945999999999998</v>
      </c>
      <c r="M50" s="19">
        <v>26.151</v>
      </c>
      <c r="N50" s="19">
        <v>26.315000000000001</v>
      </c>
      <c r="O50" s="19">
        <v>17.079000000000001</v>
      </c>
    </row>
    <row r="51" spans="2:16" x14ac:dyDescent="0.3">
      <c r="B51" s="2" t="s">
        <v>79</v>
      </c>
      <c r="C51" s="25">
        <f>K12</f>
        <v>30.33</v>
      </c>
      <c r="D51" s="25">
        <f>L12</f>
        <v>247.36199999999997</v>
      </c>
      <c r="E51" s="25">
        <f>M12</f>
        <v>434.11400000000003</v>
      </c>
      <c r="F51" s="25">
        <f>N12</f>
        <v>672.298</v>
      </c>
      <c r="G51" s="25">
        <f>O12</f>
        <v>162.30199999999999</v>
      </c>
      <c r="I51" s="2" t="s">
        <v>66</v>
      </c>
      <c r="J51" s="2"/>
      <c r="K51" s="2">
        <v>1.1619999999999999</v>
      </c>
      <c r="L51" s="19">
        <v>4.4450000000000003</v>
      </c>
      <c r="M51" s="19">
        <v>6.2480000000000002</v>
      </c>
      <c r="N51" s="19">
        <v>5.8479999999999999</v>
      </c>
      <c r="O51" s="19">
        <v>7.3810000000000002</v>
      </c>
    </row>
    <row r="52" spans="2:16" x14ac:dyDescent="0.3">
      <c r="B52" s="2" t="s">
        <v>80</v>
      </c>
      <c r="C52" s="7">
        <f t="shared" ref="C52:G53" si="12">K32</f>
        <v>19.933</v>
      </c>
      <c r="D52" s="7">
        <f t="shared" si="12"/>
        <v>7.7039999999999997</v>
      </c>
      <c r="E52" s="7">
        <f t="shared" si="12"/>
        <v>5.33</v>
      </c>
      <c r="F52" s="7">
        <f t="shared" si="12"/>
        <v>6.2770000000000001</v>
      </c>
      <c r="G52" s="7">
        <f t="shared" si="12"/>
        <v>137.869</v>
      </c>
      <c r="I52" s="2" t="s">
        <v>68</v>
      </c>
      <c r="J52" s="2"/>
      <c r="K52" s="2" t="s">
        <v>114</v>
      </c>
      <c r="L52" s="19">
        <v>14.964</v>
      </c>
      <c r="M52" s="19">
        <v>24.888000000000002</v>
      </c>
      <c r="N52" s="19">
        <v>22.038</v>
      </c>
      <c r="O52" s="19">
        <v>0</v>
      </c>
    </row>
    <row r="53" spans="2:16" x14ac:dyDescent="0.3">
      <c r="B53" s="2" t="s">
        <v>82</v>
      </c>
      <c r="C53" s="7" t="str">
        <f t="shared" si="12"/>
        <v>-</v>
      </c>
      <c r="D53" s="7">
        <f t="shared" si="12"/>
        <v>0.86599999999999999</v>
      </c>
      <c r="E53" s="7">
        <f t="shared" si="12"/>
        <v>2.133</v>
      </c>
      <c r="F53" s="7">
        <f t="shared" si="12"/>
        <v>19.797999999999998</v>
      </c>
      <c r="G53" s="7">
        <f>O33</f>
        <v>0</v>
      </c>
      <c r="I53" s="35" t="s">
        <v>69</v>
      </c>
      <c r="J53" s="35"/>
      <c r="K53" s="40">
        <f>K27-K44</f>
        <v>307.91200000000003</v>
      </c>
      <c r="L53" s="42">
        <f>L27-L44</f>
        <v>364.63899999999978</v>
      </c>
      <c r="M53" s="42">
        <f>M27-M44</f>
        <v>510.26800000000003</v>
      </c>
      <c r="N53" s="42">
        <f>N27-N44</f>
        <v>650.92900000000009</v>
      </c>
      <c r="O53" s="42">
        <f>O27-O44</f>
        <v>1832.5299999999997</v>
      </c>
    </row>
    <row r="54" spans="2:16" x14ac:dyDescent="0.3">
      <c r="B54" s="1" t="s">
        <v>84</v>
      </c>
      <c r="C54" s="32" t="s">
        <v>90</v>
      </c>
      <c r="D54" s="32" t="s">
        <v>90</v>
      </c>
      <c r="E54" s="32" t="s">
        <v>90</v>
      </c>
      <c r="F54" s="32" t="s">
        <v>90</v>
      </c>
      <c r="G54" s="32">
        <f>G50+G51-G52-G53</f>
        <v>10507.0541056</v>
      </c>
      <c r="I54" s="35" t="s">
        <v>74</v>
      </c>
      <c r="J54" s="35"/>
      <c r="K54" s="40">
        <f>SUM(K15+K27)</f>
        <v>980.30600000000004</v>
      </c>
      <c r="L54" s="42">
        <f>SUM(L15+L27)</f>
        <v>1553.8679999999999</v>
      </c>
      <c r="M54" s="42">
        <f>SUM(M15+M27)</f>
        <v>2030.4480000000001</v>
      </c>
      <c r="N54" s="42">
        <f>SUM(N15+N27)</f>
        <v>2375.2070000000003</v>
      </c>
      <c r="O54" s="42">
        <f>SUM(O15+O27)</f>
        <v>3379.2519999999995</v>
      </c>
    </row>
    <row r="55" spans="2:16" x14ac:dyDescent="0.3">
      <c r="D55" s="14"/>
      <c r="E55" s="14"/>
      <c r="F55" s="14"/>
      <c r="G55" s="14"/>
      <c r="I55" s="35" t="s">
        <v>75</v>
      </c>
      <c r="J55" s="35"/>
      <c r="K55" s="40">
        <f>K44+K8+K38</f>
        <v>980.30899999999997</v>
      </c>
      <c r="L55" s="40">
        <f t="shared" ref="L55:N55" si="13">L44+L8+L38</f>
        <v>1553.867</v>
      </c>
      <c r="M55" s="40">
        <f t="shared" si="13"/>
        <v>2030.451</v>
      </c>
      <c r="N55" s="40">
        <f t="shared" si="13"/>
        <v>2375.2089999999998</v>
      </c>
      <c r="O55" s="40">
        <f t="shared" ref="O55" si="14">O44+O8+O38</f>
        <v>3379.252</v>
      </c>
    </row>
    <row r="56" spans="2:16" x14ac:dyDescent="0.3">
      <c r="D56" s="15"/>
      <c r="E56" s="15"/>
      <c r="F56" s="15"/>
      <c r="G56" s="15"/>
      <c r="I56" s="2"/>
      <c r="J56" s="2"/>
      <c r="K56" s="7"/>
      <c r="L56" s="19"/>
      <c r="M56" s="19"/>
      <c r="N56" s="19"/>
      <c r="O56" s="19"/>
    </row>
    <row r="57" spans="2:16" x14ac:dyDescent="0.3">
      <c r="D57" s="15"/>
      <c r="G57" s="14"/>
    </row>
    <row r="58" spans="2:16" x14ac:dyDescent="0.3">
      <c r="D58" s="16"/>
      <c r="G58" s="16"/>
    </row>
    <row r="60" spans="2:16" x14ac:dyDescent="0.3">
      <c r="J60" s="21"/>
      <c r="K60" s="21"/>
      <c r="L60" s="21"/>
      <c r="M60" s="21"/>
      <c r="N60" s="22"/>
    </row>
    <row r="61" spans="2:16" x14ac:dyDescent="0.3">
      <c r="I61" s="51" t="s">
        <v>78</v>
      </c>
      <c r="J61" s="49"/>
      <c r="K61" s="48" t="s">
        <v>3</v>
      </c>
      <c r="L61" s="48" t="s">
        <v>4</v>
      </c>
      <c r="M61" s="48" t="s">
        <v>5</v>
      </c>
      <c r="N61" s="47" t="s">
        <v>104</v>
      </c>
      <c r="O61" s="50" t="s">
        <v>120</v>
      </c>
    </row>
    <row r="62" spans="2:16" x14ac:dyDescent="0.3">
      <c r="I62" s="12" t="s">
        <v>81</v>
      </c>
      <c r="J62" s="12"/>
      <c r="K62" s="52" t="s">
        <v>90</v>
      </c>
      <c r="L62" s="52" t="s">
        <v>90</v>
      </c>
      <c r="M62" s="52" t="s">
        <v>90</v>
      </c>
      <c r="N62" s="62" t="s">
        <v>90</v>
      </c>
      <c r="O62" s="62">
        <v>178.05</v>
      </c>
    </row>
    <row r="63" spans="2:16" x14ac:dyDescent="0.3">
      <c r="I63" s="12" t="s">
        <v>83</v>
      </c>
      <c r="J63" s="12"/>
      <c r="K63" s="53">
        <f>C31</f>
        <v>2.66</v>
      </c>
      <c r="L63" s="9">
        <f>D31</f>
        <v>4.66</v>
      </c>
      <c r="M63" s="9">
        <f>E31</f>
        <v>5.44</v>
      </c>
      <c r="N63" s="63">
        <f>F31</f>
        <v>6.74</v>
      </c>
      <c r="O63" s="63">
        <f>N63+G31-5.34</f>
        <v>5.8800000000000008</v>
      </c>
      <c r="P63" t="s">
        <v>103</v>
      </c>
    </row>
    <row r="64" spans="2:16" x14ac:dyDescent="0.3">
      <c r="I64" s="12" t="s">
        <v>85</v>
      </c>
      <c r="J64" s="12"/>
      <c r="K64" s="54" t="s">
        <v>90</v>
      </c>
      <c r="L64" s="54" t="s">
        <v>90</v>
      </c>
      <c r="M64" s="54" t="s">
        <v>90</v>
      </c>
      <c r="N64" s="64" t="s">
        <v>90</v>
      </c>
      <c r="O64" s="67">
        <f>(O8*10^6)/G49</f>
        <v>44.844064482009486</v>
      </c>
    </row>
    <row r="65" spans="3:15" x14ac:dyDescent="0.3">
      <c r="I65" s="12" t="s">
        <v>86</v>
      </c>
      <c r="J65" s="2"/>
      <c r="K65" s="7">
        <v>18</v>
      </c>
      <c r="L65" s="55">
        <v>11</v>
      </c>
      <c r="M65" s="56">
        <v>9</v>
      </c>
      <c r="N65" s="66">
        <v>10</v>
      </c>
      <c r="O65" s="65" t="s">
        <v>90</v>
      </c>
    </row>
    <row r="66" spans="3:15" x14ac:dyDescent="0.3">
      <c r="I66" s="12" t="s">
        <v>87</v>
      </c>
      <c r="J66" s="12"/>
      <c r="K66" s="9" t="s">
        <v>90</v>
      </c>
      <c r="L66" s="9" t="s">
        <v>90</v>
      </c>
      <c r="M66" s="9" t="s">
        <v>90</v>
      </c>
      <c r="N66" s="63" t="s">
        <v>90</v>
      </c>
      <c r="O66" s="63">
        <f>O62/O63</f>
        <v>30.280612244897956</v>
      </c>
    </row>
    <row r="67" spans="3:15" x14ac:dyDescent="0.3">
      <c r="I67" s="12" t="s">
        <v>88</v>
      </c>
      <c r="J67" s="12"/>
      <c r="K67" s="30" t="s">
        <v>90</v>
      </c>
      <c r="L67" s="30" t="s">
        <v>90</v>
      </c>
      <c r="M67" s="30" t="s">
        <v>90</v>
      </c>
      <c r="N67" s="67" t="s">
        <v>90</v>
      </c>
      <c r="O67" s="65" t="s">
        <v>90</v>
      </c>
    </row>
    <row r="68" spans="3:15" x14ac:dyDescent="0.3">
      <c r="I68" s="12" t="s">
        <v>89</v>
      </c>
      <c r="J68" s="12"/>
      <c r="K68" s="9" t="s">
        <v>90</v>
      </c>
      <c r="L68" s="9" t="s">
        <v>90</v>
      </c>
      <c r="M68" s="9" t="s">
        <v>90</v>
      </c>
      <c r="N68" s="63" t="s">
        <v>90</v>
      </c>
      <c r="O68" s="65" t="s">
        <v>90</v>
      </c>
    </row>
    <row r="69" spans="3:15" x14ac:dyDescent="0.3">
      <c r="I69" s="12" t="s">
        <v>91</v>
      </c>
      <c r="J69" s="12"/>
      <c r="K69" s="57">
        <f>C22/K6</f>
        <v>0.26540796968579777</v>
      </c>
      <c r="L69" s="57">
        <f>D22/L6</f>
        <v>0.31710451475001927</v>
      </c>
      <c r="M69" s="57">
        <f>E22/M6</f>
        <v>0.27066675046454458</v>
      </c>
      <c r="N69" s="68">
        <f>F22/N6</f>
        <v>0.27780607553350362</v>
      </c>
      <c r="O69" s="68">
        <f>G22/O6</f>
        <v>9.4715655319948369E-2</v>
      </c>
    </row>
    <row r="70" spans="3:15" x14ac:dyDescent="0.3">
      <c r="I70" s="12" t="s">
        <v>92</v>
      </c>
      <c r="J70" s="12"/>
      <c r="K70" s="57">
        <f>(C20+C18)/K13</f>
        <v>0.3347249056458283</v>
      </c>
      <c r="L70" s="57">
        <f>(D20+D18)/L13</f>
        <v>0.38787758256885929</v>
      </c>
      <c r="M70" s="57">
        <f>(E20+E18)/M13</f>
        <v>0.37777032515456355</v>
      </c>
      <c r="N70" s="68">
        <f>(F20+F18)/N13</f>
        <v>0.40825229056568391</v>
      </c>
      <c r="O70" s="68">
        <f>(G20+G18)/O13</f>
        <v>0.13813278025392683</v>
      </c>
    </row>
    <row r="71" spans="3:15" ht="14.4" hidden="1" customHeight="1" x14ac:dyDescent="0.3">
      <c r="C71" s="17">
        <f>K27-K44</f>
        <v>307.91200000000003</v>
      </c>
      <c r="D71" s="17"/>
      <c r="E71" s="17"/>
      <c r="F71" s="17"/>
      <c r="G71" s="17"/>
      <c r="I71" s="12" t="s">
        <v>93</v>
      </c>
      <c r="J71" s="12"/>
      <c r="K71" s="53">
        <f>K12/K6</f>
        <v>7.4052009756407217E-2</v>
      </c>
      <c r="L71" s="53">
        <f>L12/L6</f>
        <v>0.40546694051636945</v>
      </c>
      <c r="M71" s="53">
        <f>M12/M6</f>
        <v>0.51478064126721368</v>
      </c>
      <c r="N71" s="69">
        <f>N12/N6</f>
        <v>0.64733732026779411</v>
      </c>
      <c r="O71" s="65" t="s">
        <v>90</v>
      </c>
    </row>
    <row r="72" spans="3:15" x14ac:dyDescent="0.3">
      <c r="I72" s="12" t="s">
        <v>94</v>
      </c>
      <c r="J72" s="12"/>
      <c r="K72" s="53">
        <f>(K12-SUM(K30,K32:K33))/K6</f>
        <v>-5.2007314863871758E-2</v>
      </c>
      <c r="L72" s="53">
        <f>(L12-SUM(L30,L32:L33))/L6</f>
        <v>0.39141930312572221</v>
      </c>
      <c r="M72" s="53">
        <f>(M12-SUM(M30,M32:M33))/M6</f>
        <v>0.50593087386561586</v>
      </c>
      <c r="N72" s="69">
        <f>(N12-SUM(N30,N32:N33))/N6</f>
        <v>0.6222304173378691</v>
      </c>
      <c r="O72" s="69">
        <f>(O12-SUM(O30,O32:O33))/O6</f>
        <v>9.2543072886049991E-3</v>
      </c>
    </row>
    <row r="73" spans="3:15" x14ac:dyDescent="0.3">
      <c r="I73" s="12" t="s">
        <v>95</v>
      </c>
      <c r="J73" s="2"/>
      <c r="K73" s="46" t="s">
        <v>90</v>
      </c>
      <c r="L73" s="46" t="s">
        <v>90</v>
      </c>
      <c r="M73" s="46" t="s">
        <v>90</v>
      </c>
      <c r="N73" s="70" t="s">
        <v>90</v>
      </c>
      <c r="O73" s="65" t="s">
        <v>90</v>
      </c>
    </row>
    <row r="74" spans="3:15" x14ac:dyDescent="0.3">
      <c r="I74" s="12" t="s">
        <v>96</v>
      </c>
      <c r="J74" s="12"/>
      <c r="K74" s="58">
        <f>AVERAGE(K31:K31/C4)*365</f>
        <v>74.264214076107677</v>
      </c>
      <c r="L74" s="58">
        <f>AVERAGE(K31:L31/D4)*365</f>
        <v>105.7263681872799</v>
      </c>
      <c r="M74" s="58">
        <f>AVERAGE(L31:M31/E4)*365</f>
        <v>127.81830911961976</v>
      </c>
      <c r="N74" s="71">
        <f>AVERAGE(M31:N31/F4)*365</f>
        <v>111.80409654504092</v>
      </c>
      <c r="O74" s="65" t="s">
        <v>90</v>
      </c>
    </row>
    <row r="75" spans="3:15" x14ac:dyDescent="0.3">
      <c r="I75" s="2" t="s">
        <v>97</v>
      </c>
      <c r="J75" s="2"/>
      <c r="K75" s="58">
        <f>(AVERAGE(K46:K46)/C7)*365</f>
        <v>2.1759643374895004</v>
      </c>
      <c r="L75" s="58">
        <f>(AVERAGE(K46:L46)/D7)*365</f>
        <v>17.021663545744676</v>
      </c>
      <c r="M75" s="58">
        <f>(AVERAGE(L46:M46)/E7)*365</f>
        <v>46.58421308922231</v>
      </c>
      <c r="N75" s="71">
        <f>(AVERAGE(M46:N46)/F7)*365</f>
        <v>61.388460758234224</v>
      </c>
      <c r="O75" s="65" t="s">
        <v>90</v>
      </c>
    </row>
    <row r="76" spans="3:15" x14ac:dyDescent="0.3">
      <c r="I76" s="2" t="s">
        <v>98</v>
      </c>
      <c r="J76" s="2"/>
      <c r="K76" s="58">
        <f>(AVERAGE(K28:K28)/C7)*365</f>
        <v>74.355816639846466</v>
      </c>
      <c r="L76" s="58">
        <f>(AVERAGE(K28:L28)/D7)*365</f>
        <v>65.887926091974109</v>
      </c>
      <c r="M76" s="58">
        <f>(AVERAGE(L28:M28)/E7)*365</f>
        <v>82.167798845599748</v>
      </c>
      <c r="N76" s="71">
        <f>(AVERAGE(M28:N28)/F7)*365</f>
        <v>70.137922886668605</v>
      </c>
      <c r="O76" s="65" t="s">
        <v>90</v>
      </c>
    </row>
    <row r="77" spans="3:15" x14ac:dyDescent="0.3">
      <c r="I77" s="2" t="s">
        <v>99</v>
      </c>
      <c r="J77" s="2"/>
      <c r="K77" s="58">
        <f t="shared" ref="K77" si="15">K74+K76-K75</f>
        <v>146.44406637846467</v>
      </c>
      <c r="L77" s="58">
        <f>L74+L76-L75</f>
        <v>154.59263073350934</v>
      </c>
      <c r="M77" s="58">
        <f>M74+M76-M75</f>
        <v>163.40189487599719</v>
      </c>
      <c r="N77" s="71">
        <f>N74+N76-N75</f>
        <v>120.55355867347529</v>
      </c>
      <c r="O77" s="65" t="s">
        <v>90</v>
      </c>
    </row>
    <row r="78" spans="3:15" x14ac:dyDescent="0.3">
      <c r="I78" s="12" t="s">
        <v>100</v>
      </c>
      <c r="J78" s="12"/>
      <c r="K78" s="59">
        <f>C4/(AVERAGE(K16:K16))</f>
        <v>65.859559417169663</v>
      </c>
      <c r="L78" s="59">
        <f>D4/(AVERAGE(K16:L16))</f>
        <v>68.99374045344274</v>
      </c>
      <c r="M78" s="59">
        <f>E4/(AVERAGE(L16:M16))</f>
        <v>48.919697228387683</v>
      </c>
      <c r="N78" s="72">
        <f>F4/(AVERAGE(M16:N16))</f>
        <v>31.337959818396314</v>
      </c>
      <c r="O78" s="65" t="s">
        <v>90</v>
      </c>
    </row>
    <row r="79" spans="3:15" x14ac:dyDescent="0.3">
      <c r="I79" s="12" t="s">
        <v>101</v>
      </c>
      <c r="J79" s="12"/>
      <c r="K79" s="52" t="s">
        <v>90</v>
      </c>
      <c r="L79" s="46" t="s">
        <v>90</v>
      </c>
      <c r="M79" s="46" t="s">
        <v>90</v>
      </c>
      <c r="N79" s="73" t="s">
        <v>90</v>
      </c>
      <c r="O79" s="65" t="s">
        <v>90</v>
      </c>
    </row>
    <row r="80" spans="3:15" x14ac:dyDescent="0.3">
      <c r="I80" s="60" t="s">
        <v>102</v>
      </c>
      <c r="J80" s="60"/>
      <c r="K80" s="61">
        <f>(AVERAGE(K53:K53)/C4)*365</f>
        <v>65.60600744977009</v>
      </c>
      <c r="L80" s="61">
        <f>(AVERAGE(K53:L53)/D4)*365</f>
        <v>53.281321626023583</v>
      </c>
      <c r="M80" s="61">
        <f>(AVERAGE(L53:M53)/E4)*365</f>
        <v>61.918904806445383</v>
      </c>
      <c r="N80" s="74">
        <f>(AVERAGE(M53:N53)/F4)*365</f>
        <v>60.436459975240041</v>
      </c>
      <c r="O80" s="65" t="s">
        <v>90</v>
      </c>
    </row>
  </sheetData>
  <mergeCells count="2">
    <mergeCell ref="B2:G2"/>
    <mergeCell ref="I2:N2"/>
  </mergeCells>
  <phoneticPr fontId="7" type="noConversion"/>
  <pageMargins left="0.7" right="0.7" top="0.75" bottom="0.75" header="0.3" footer="0.3"/>
  <pageSetup orientation="portrait" r:id="rId1"/>
  <ignoredErrors>
    <ignoredError sqref="L72:L77 N72:N78 M72:M7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2024-05-14T11:12:31Z</dcterms:created>
  <dcterms:modified xsi:type="dcterms:W3CDTF">2026-03-09T07:33:03Z</dcterms:modified>
</cp:coreProperties>
</file>