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8485F490-C78B-437A-ACC1-2E66FB6BDB4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Summary Sheet" sheetId="1" r:id="rId1"/>
    <sheet name="Highlights" sheetId="4" state="hidden" r:id="rId2"/>
    <sheet name="Peer working" sheetId="3" state="hidden" r:id="rId3"/>
    <sheet name="Peers" sheetId="2" state="hidden" r:id="rId4"/>
  </sheets>
  <externalReferences>
    <externalReference r:id="rId5"/>
  </externalReferences>
  <definedNames>
    <definedName name="_xlnm.Print_Area" localSheetId="0">'Summary Sheet'!$A$1:$Z$85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8" i="1" l="1"/>
  <c r="I30" i="1" l="1"/>
  <c r="I31" i="1"/>
  <c r="I33" i="1"/>
  <c r="I34" i="1"/>
  <c r="H40" i="1"/>
  <c r="K60" i="1"/>
  <c r="K63" i="1" s="1"/>
  <c r="H39" i="1"/>
  <c r="G37" i="1"/>
  <c r="H37" i="1"/>
  <c r="I35" i="1"/>
  <c r="I26" i="1"/>
  <c r="I24" i="1"/>
  <c r="I21" i="1"/>
  <c r="H20" i="1"/>
  <c r="H19" i="1"/>
  <c r="I18" i="1"/>
  <c r="I11" i="1"/>
  <c r="G10" i="1"/>
  <c r="H10" i="1"/>
  <c r="H9" i="1"/>
  <c r="I8" i="1"/>
  <c r="I7" i="1"/>
  <c r="M69" i="1"/>
  <c r="J71" i="1"/>
  <c r="AC71" i="1"/>
  <c r="AH78" i="1" l="1"/>
  <c r="AA5" i="1"/>
  <c r="AC66" i="1" s="1"/>
  <c r="K55" i="1"/>
  <c r="K48" i="1"/>
  <c r="K47" i="1"/>
  <c r="K46" i="1"/>
  <c r="K44" i="1" l="1"/>
  <c r="K53" i="1" s="1"/>
  <c r="I27" i="1" l="1"/>
  <c r="I23" i="1"/>
  <c r="I22" i="1"/>
  <c r="I16" i="1"/>
  <c r="I15" i="1"/>
  <c r="I14" i="1"/>
  <c r="I13" i="1"/>
  <c r="I12" i="1"/>
  <c r="I6" i="1"/>
  <c r="AC79" i="1" l="1"/>
  <c r="AC81" i="1"/>
  <c r="AC80" i="1"/>
  <c r="N57" i="1" l="1"/>
  <c r="P8" i="1"/>
  <c r="Q8" i="1"/>
  <c r="R8" i="1"/>
  <c r="S8" i="1"/>
  <c r="T8" i="1"/>
  <c r="U8" i="1"/>
  <c r="V8" i="1"/>
  <c r="W8" i="1"/>
  <c r="X8" i="1"/>
  <c r="Y8" i="1"/>
  <c r="Z8" i="1"/>
  <c r="AA8" i="1"/>
  <c r="P12" i="1"/>
  <c r="Q12" i="1"/>
  <c r="R12" i="1"/>
  <c r="S12" i="1"/>
  <c r="W12" i="1"/>
  <c r="X12" i="1"/>
  <c r="P13" i="1"/>
  <c r="Q13" i="1"/>
  <c r="R13" i="1"/>
  <c r="S13" i="1"/>
  <c r="T13" i="1"/>
  <c r="AA22" i="1"/>
  <c r="P22" i="1"/>
  <c r="Q22" i="1"/>
  <c r="R22" i="1"/>
  <c r="S22" i="1"/>
  <c r="T22" i="1"/>
  <c r="U22" i="1"/>
  <c r="V22" i="1"/>
  <c r="V13" i="1" s="1"/>
  <c r="W22" i="1"/>
  <c r="W13" i="1" s="1"/>
  <c r="X22" i="1"/>
  <c r="X13" i="1" s="1"/>
  <c r="Y22" i="1"/>
  <c r="Y13" i="1" s="1"/>
  <c r="Z22" i="1"/>
  <c r="Z13" i="1" s="1"/>
  <c r="T26" i="1"/>
  <c r="T34" i="1" s="1"/>
  <c r="U26" i="1"/>
  <c r="U34" i="1" s="1"/>
  <c r="V26" i="1"/>
  <c r="V34" i="1" s="1"/>
  <c r="W26" i="1"/>
  <c r="W34" i="1" s="1"/>
  <c r="X26" i="1"/>
  <c r="X34" i="1" s="1"/>
  <c r="Y26" i="1"/>
  <c r="Y34" i="1" s="1"/>
  <c r="P34" i="1"/>
  <c r="Q34" i="1"/>
  <c r="R34" i="1"/>
  <c r="S34" i="1"/>
  <c r="Z34" i="1"/>
  <c r="AA34" i="1"/>
  <c r="K54" i="1"/>
  <c r="K56" i="1" s="1"/>
  <c r="K49" i="1"/>
  <c r="K58" i="1"/>
  <c r="K71" i="1"/>
  <c r="K75" i="1"/>
  <c r="L68" i="1"/>
  <c r="L75" i="1"/>
  <c r="AC78" i="1"/>
  <c r="U13" i="1" l="1"/>
  <c r="L71" i="1"/>
  <c r="M71" i="1" s="1"/>
  <c r="M68" i="1"/>
  <c r="AA13" i="1"/>
  <c r="AI53" i="1"/>
  <c r="I17" i="1" l="1"/>
  <c r="K62" i="1"/>
  <c r="AC60" i="1"/>
  <c r="AC61" i="1" s="1"/>
  <c r="AC83" i="1" s="1"/>
  <c r="AC69" i="1"/>
  <c r="AC72" i="1" s="1"/>
  <c r="AC48" i="1"/>
  <c r="AC62" i="1" l="1"/>
  <c r="AA14" i="1" s="1"/>
  <c r="AC63" i="1"/>
  <c r="AI49" i="1"/>
  <c r="AI55" i="1" s="1"/>
  <c r="AC89" i="1"/>
  <c r="AC87" i="1"/>
  <c r="I32" i="1" l="1"/>
  <c r="AC82" i="1"/>
  <c r="AC77" i="1"/>
  <c r="AC76" i="1"/>
  <c r="AC74" i="1" l="1"/>
  <c r="AC92" i="1"/>
  <c r="AC94" i="1"/>
  <c r="AC88" i="1"/>
  <c r="AC91" i="1" s="1"/>
  <c r="AC93" i="1" l="1"/>
  <c r="AC73" i="1"/>
  <c r="AC75" i="1" l="1"/>
  <c r="I75" i="1"/>
  <c r="H16" i="1"/>
  <c r="AB81" i="1" l="1"/>
  <c r="AB79" i="1"/>
  <c r="AB90" i="1"/>
  <c r="I69" i="1" l="1"/>
  <c r="I71" i="1" s="1"/>
  <c r="I62" i="1"/>
  <c r="I60" i="1"/>
  <c r="AB68" i="1"/>
  <c r="AB71" i="1" s="1"/>
  <c r="I54" i="1"/>
  <c r="I56" i="1" s="1"/>
  <c r="I49" i="1"/>
  <c r="H26" i="1"/>
  <c r="AB78" i="1"/>
  <c r="H17" i="1" l="1"/>
  <c r="H7" i="1"/>
  <c r="H8" i="1" s="1"/>
  <c r="H11" i="1"/>
  <c r="H18" i="1" s="1"/>
  <c r="I63" i="1"/>
  <c r="AB73" i="1" l="1"/>
  <c r="H21" i="1"/>
  <c r="H54" i="1"/>
  <c r="H56" i="1" s="1"/>
  <c r="H49" i="1"/>
  <c r="AB60" i="1"/>
  <c r="AB88" i="1" s="1"/>
  <c r="AB48" i="1"/>
  <c r="AB87" i="1" s="1"/>
  <c r="AB89" i="1"/>
  <c r="AB69" i="1"/>
  <c r="H24" i="1" l="1"/>
  <c r="H32" i="1" s="1"/>
  <c r="AB91" i="1"/>
  <c r="AB62" i="1"/>
  <c r="Z14" i="1" s="1"/>
  <c r="AB77" i="1"/>
  <c r="AB72" i="1"/>
  <c r="AB76" i="1"/>
  <c r="AB61" i="1"/>
  <c r="AB63" i="1"/>
  <c r="H31" i="1" l="1"/>
  <c r="H35" i="1"/>
  <c r="AB74" i="1"/>
  <c r="AB92" i="1"/>
  <c r="AB93" i="1" s="1"/>
  <c r="AB75" i="1" s="1"/>
  <c r="AB94" i="1"/>
  <c r="H33" i="1"/>
  <c r="G75" i="1"/>
  <c r="H62" i="1"/>
  <c r="H60" i="1"/>
  <c r="H63" i="1" l="1"/>
  <c r="AA68" i="1" l="1"/>
  <c r="G62" i="1" l="1"/>
  <c r="G60" i="1"/>
  <c r="G40" i="1"/>
  <c r="AA78" i="1"/>
  <c r="AA79" i="1"/>
  <c r="AA81" i="1"/>
  <c r="G49" i="1"/>
  <c r="G50" i="1" s="1"/>
  <c r="AA60" i="1"/>
  <c r="AA88" i="1" s="1"/>
  <c r="AA41" i="1"/>
  <c r="F34" i="1"/>
  <c r="F11" i="1"/>
  <c r="G39" i="1"/>
  <c r="G34" i="1"/>
  <c r="G26" i="1"/>
  <c r="G11" i="1"/>
  <c r="G18" i="1" s="1"/>
  <c r="G54" i="1"/>
  <c r="G56" i="1" s="1"/>
  <c r="H50" i="1" l="1"/>
  <c r="I45" i="1"/>
  <c r="I50" i="1" s="1"/>
  <c r="K45" i="1" s="1"/>
  <c r="K50" i="1" s="1"/>
  <c r="AB80" i="1"/>
  <c r="AB82" i="1" s="1"/>
  <c r="AA61" i="1"/>
  <c r="AB83" i="1" s="1"/>
  <c r="AA80" i="1"/>
  <c r="AA82" i="1" s="1"/>
  <c r="G63" i="1"/>
  <c r="AA73" i="1" s="1"/>
  <c r="G21" i="1"/>
  <c r="Z60" i="1"/>
  <c r="Y60" i="1"/>
  <c r="X60" i="1"/>
  <c r="W60" i="1"/>
  <c r="AQ67" i="1"/>
  <c r="V60" i="1"/>
  <c r="AA90" i="1"/>
  <c r="Z90" i="1"/>
  <c r="AO90" i="1" s="1"/>
  <c r="Y90" i="1"/>
  <c r="AN90" i="1" s="1"/>
  <c r="X90" i="1"/>
  <c r="AM90" i="1" s="1"/>
  <c r="W90" i="1"/>
  <c r="AL90" i="1" s="1"/>
  <c r="V90" i="1"/>
  <c r="AK90" i="1" s="1"/>
  <c r="X88" i="1" l="1"/>
  <c r="AM88" i="1" s="1"/>
  <c r="V88" i="1"/>
  <c r="AK88" i="1" s="1"/>
  <c r="Z88" i="1"/>
  <c r="AO88" i="1" s="1"/>
  <c r="Y88" i="1"/>
  <c r="AN88" i="1" s="1"/>
  <c r="W88" i="1"/>
  <c r="AL88" i="1" s="1"/>
  <c r="Z79" i="1"/>
  <c r="AA71" i="1"/>
  <c r="G8" i="1"/>
  <c r="AA48" i="1"/>
  <c r="AA89" i="1"/>
  <c r="Z78" i="1"/>
  <c r="U68" i="1"/>
  <c r="AA69" i="1" l="1"/>
  <c r="AA87" i="1"/>
  <c r="AA91" i="1" s="1"/>
  <c r="AA62" i="1"/>
  <c r="Y14" i="1" s="1"/>
  <c r="AA76" i="1"/>
  <c r="AA77" i="1"/>
  <c r="AA63" i="1"/>
  <c r="F74" i="1"/>
  <c r="AA72" i="1" l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B7" i="1"/>
  <c r="B17" i="1"/>
  <c r="C17" i="1"/>
  <c r="C7" i="1"/>
  <c r="D17" i="1"/>
  <c r="E17" i="1"/>
  <c r="V79" i="1"/>
  <c r="W81" i="1"/>
  <c r="X81" i="1"/>
  <c r="Y81" i="1"/>
  <c r="Z81" i="1"/>
  <c r="V81" i="1"/>
  <c r="E55" i="1"/>
  <c r="Y79" i="1"/>
  <c r="X79" i="1"/>
  <c r="W79" i="1"/>
  <c r="X78" i="1"/>
  <c r="Y78" i="1"/>
  <c r="W78" i="1"/>
  <c r="V78" i="1"/>
  <c r="Z68" i="1" l="1"/>
  <c r="Y68" i="1"/>
  <c r="X68" i="1"/>
  <c r="W68" i="1"/>
  <c r="V68" i="1"/>
  <c r="Z48" i="1"/>
  <c r="Y4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F8" i="1"/>
  <c r="Y87" i="1" l="1"/>
  <c r="AN87" i="1" s="1"/>
  <c r="Y62" i="1"/>
  <c r="W14" i="1" s="1"/>
  <c r="Z87" i="1"/>
  <c r="AO87" i="1" s="1"/>
  <c r="Z62" i="1"/>
  <c r="X14" i="1" s="1"/>
  <c r="F9" i="1"/>
  <c r="G9" i="1"/>
  <c r="G19" i="1"/>
  <c r="W71" i="1"/>
  <c r="X71" i="1"/>
  <c r="V71" i="1"/>
  <c r="E21" i="1"/>
  <c r="Y71" i="1"/>
  <c r="Z71" i="1"/>
  <c r="F21" i="1"/>
  <c r="E24" i="1"/>
  <c r="E32" i="1" s="1"/>
  <c r="Y92" i="1" s="1"/>
  <c r="Z69" i="1"/>
  <c r="F19" i="1"/>
  <c r="F24" i="1"/>
  <c r="F32" i="1" s="1"/>
  <c r="Y69" i="1"/>
  <c r="W48" i="1"/>
  <c r="B62" i="1"/>
  <c r="C62" i="1"/>
  <c r="D62" i="1"/>
  <c r="B49" i="1"/>
  <c r="B50" i="1" s="1"/>
  <c r="D26" i="1"/>
  <c r="D8" i="1"/>
  <c r="B11" i="1"/>
  <c r="B26" i="1"/>
  <c r="C34" i="1"/>
  <c r="AP42" i="1"/>
  <c r="C11" i="1"/>
  <c r="C18" i="1" s="1"/>
  <c r="B8" i="1"/>
  <c r="E10" i="1" s="1"/>
  <c r="B54" i="1"/>
  <c r="B60" i="1"/>
  <c r="B61" i="1"/>
  <c r="C55" i="1"/>
  <c r="D55" i="1"/>
  <c r="Z94" i="1" l="1"/>
  <c r="AO94" i="1" s="1"/>
  <c r="Z92" i="1"/>
  <c r="AO92" i="1" s="1"/>
  <c r="F20" i="1"/>
  <c r="W87" i="1"/>
  <c r="AL87" i="1" s="1"/>
  <c r="W62" i="1"/>
  <c r="U14" i="1" s="1"/>
  <c r="Z61" i="1"/>
  <c r="Z89" i="1"/>
  <c r="Y72" i="1"/>
  <c r="C21" i="1"/>
  <c r="E33" i="1"/>
  <c r="Y94" i="1"/>
  <c r="AN94" i="1" s="1"/>
  <c r="E9" i="1"/>
  <c r="AN92" i="1"/>
  <c r="Z72" i="1"/>
  <c r="E35" i="1"/>
  <c r="E31" i="1"/>
  <c r="F33" i="1"/>
  <c r="F35" i="1"/>
  <c r="Z80" i="1"/>
  <c r="Z82" i="1" s="1"/>
  <c r="Y89" i="1"/>
  <c r="F31" i="1"/>
  <c r="X89" i="1"/>
  <c r="AM89" i="1" s="1"/>
  <c r="Y80" i="1"/>
  <c r="W89" i="1"/>
  <c r="AL89" i="1" s="1"/>
  <c r="X80" i="1"/>
  <c r="V89" i="1"/>
  <c r="AK89" i="1" s="1"/>
  <c r="W80" i="1"/>
  <c r="V80" i="1"/>
  <c r="B18" i="1"/>
  <c r="B63" i="1"/>
  <c r="D11" i="1"/>
  <c r="AA83" i="1" l="1"/>
  <c r="X82" i="1"/>
  <c r="W82" i="1"/>
  <c r="Y82" i="1"/>
  <c r="AO89" i="1"/>
  <c r="Z91" i="1"/>
  <c r="V82" i="1"/>
  <c r="AN89" i="1"/>
  <c r="Y91" i="1"/>
  <c r="W91" i="1"/>
  <c r="AL91" i="1" s="1"/>
  <c r="E20" i="1"/>
  <c r="B21" i="1"/>
  <c r="V73" i="1"/>
  <c r="F36" i="1"/>
  <c r="Y61" i="1"/>
  <c r="Z83" i="1" s="1"/>
  <c r="C19" i="1"/>
  <c r="D18" i="1"/>
  <c r="B24" i="1"/>
  <c r="G20" i="1" l="1"/>
  <c r="AN91" i="1"/>
  <c r="Y93" i="1"/>
  <c r="AO91" i="1"/>
  <c r="Z93" i="1"/>
  <c r="D21" i="1"/>
  <c r="D24" i="1"/>
  <c r="E19" i="1"/>
  <c r="B32" i="1"/>
  <c r="V92" i="1" s="1"/>
  <c r="AK92" i="1" s="1"/>
  <c r="AO93" i="1" l="1"/>
  <c r="Z75" i="1"/>
  <c r="AN93" i="1"/>
  <c r="Y75" i="1"/>
  <c r="B35" i="1"/>
  <c r="E37" i="1" s="1"/>
  <c r="Z76" i="1"/>
  <c r="Z77" i="1"/>
  <c r="Z63" i="1"/>
  <c r="D32" i="1"/>
  <c r="X92" i="1" s="1"/>
  <c r="AM92" i="1" s="1"/>
  <c r="B33" i="1"/>
  <c r="F61" i="1"/>
  <c r="F63" i="1" s="1"/>
  <c r="Z73" i="1" s="1"/>
  <c r="D39" i="1"/>
  <c r="D33" i="1" l="1"/>
  <c r="Z74" i="1" l="1"/>
  <c r="D60" i="1" l="1"/>
  <c r="C60" i="1"/>
  <c r="Y77" i="1" l="1"/>
  <c r="Y76" i="1"/>
  <c r="Y63" i="1"/>
  <c r="E61" i="1"/>
  <c r="E63" i="1" s="1"/>
  <c r="Y73" i="1" s="1"/>
  <c r="X48" i="1"/>
  <c r="X94" i="1"/>
  <c r="AM94" i="1" s="1"/>
  <c r="X87" i="1" l="1"/>
  <c r="AM87" i="1" s="1"/>
  <c r="X62" i="1"/>
  <c r="V14" i="1" s="1"/>
  <c r="X76" i="1"/>
  <c r="X77" i="1"/>
  <c r="X69" i="1"/>
  <c r="D61" i="1"/>
  <c r="X63" i="1"/>
  <c r="X61" i="1"/>
  <c r="Y83" i="1" s="1"/>
  <c r="D54" i="1"/>
  <c r="D56" i="1" s="1"/>
  <c r="D49" i="1"/>
  <c r="X91" i="1" l="1"/>
  <c r="AM91" i="1" s="1"/>
  <c r="X72" i="1"/>
  <c r="C39" i="1"/>
  <c r="X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S79" i="1"/>
  <c r="I16" i="3"/>
  <c r="I14" i="3"/>
  <c r="I12" i="3"/>
  <c r="AM93" i="1" l="1"/>
  <c r="X75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R48" i="1"/>
  <c r="R60" i="1"/>
  <c r="R62" i="1" l="1"/>
  <c r="P14" i="1" s="1"/>
  <c r="B7" i="3"/>
  <c r="R61" i="1" l="1"/>
  <c r="R63" i="1" l="1"/>
  <c r="U79" i="1" l="1"/>
  <c r="T79" i="1"/>
  <c r="C54" i="1"/>
  <c r="C56" i="1" s="1"/>
  <c r="C49" i="1" l="1"/>
  <c r="T68" i="1"/>
  <c r="S68" i="1"/>
  <c r="C61" i="1"/>
  <c r="V94" i="1"/>
  <c r="AK94" i="1" s="1"/>
  <c r="I9" i="3" l="1"/>
  <c r="W77" i="1"/>
  <c r="W69" i="1"/>
  <c r="W76" i="1"/>
  <c r="V76" i="1"/>
  <c r="V69" i="1"/>
  <c r="V77" i="1"/>
  <c r="V74" i="1"/>
  <c r="S84" i="1"/>
  <c r="T84" i="1"/>
  <c r="U84" i="1"/>
  <c r="I5" i="3"/>
  <c r="D63" i="1"/>
  <c r="X73" i="1" s="1"/>
  <c r="U69" i="1"/>
  <c r="U72" i="1" s="1"/>
  <c r="S76" i="1"/>
  <c r="S77" i="1"/>
  <c r="C63" i="1"/>
  <c r="W73" i="1" s="1"/>
  <c r="S71" i="1"/>
  <c r="S78" i="1"/>
  <c r="T77" i="1"/>
  <c r="T76" i="1"/>
  <c r="T71" i="1"/>
  <c r="T78" i="1"/>
  <c r="T69" i="1"/>
  <c r="T72" i="1" s="1"/>
  <c r="S69" i="1"/>
  <c r="S72" i="1" s="1"/>
  <c r="U77" i="1"/>
  <c r="U76" i="1"/>
  <c r="U71" i="1"/>
  <c r="U78" i="1"/>
  <c r="S63" i="1"/>
  <c r="T63" i="1"/>
  <c r="U63" i="1"/>
  <c r="C50" i="1"/>
  <c r="U60" i="1"/>
  <c r="U61" i="1" s="1"/>
  <c r="T60" i="1"/>
  <c r="T61" i="1" s="1"/>
  <c r="T48" i="1"/>
  <c r="S60" i="1"/>
  <c r="S61" i="1" s="1"/>
  <c r="S48" i="1"/>
  <c r="U48" i="1"/>
  <c r="I10" i="3"/>
  <c r="V48" i="1"/>
  <c r="V87" i="1" l="1"/>
  <c r="AK87" i="1" s="1"/>
  <c r="V62" i="1"/>
  <c r="T14" i="1" s="1"/>
  <c r="V91" i="1"/>
  <c r="W72" i="1"/>
  <c r="V72" i="1"/>
  <c r="D45" i="1"/>
  <c r="D50" i="1" s="1"/>
  <c r="E45" i="1" s="1"/>
  <c r="E50" i="1" s="1"/>
  <c r="F50" i="1" s="1"/>
  <c r="I11" i="3"/>
  <c r="W61" i="1"/>
  <c r="X83" i="1" s="1"/>
  <c r="I18" i="3"/>
  <c r="V63" i="1"/>
  <c r="U62" i="1"/>
  <c r="S14" i="1" s="1"/>
  <c r="S62" i="1"/>
  <c r="Q14" i="1" s="1"/>
  <c r="T62" i="1"/>
  <c r="R14" i="1" s="1"/>
  <c r="V93" i="1" l="1"/>
  <c r="AK91" i="1"/>
  <c r="W63" i="1"/>
  <c r="I17" i="3"/>
  <c r="I20" i="3" s="1"/>
  <c r="V61" i="1"/>
  <c r="AK93" i="1" l="1"/>
  <c r="V75" i="1"/>
  <c r="W83" i="1"/>
  <c r="V83" i="1"/>
  <c r="C26" i="1"/>
  <c r="C8" i="1"/>
  <c r="F10" i="1" s="1"/>
  <c r="C9" i="1" l="1"/>
  <c r="D9" i="1"/>
  <c r="B9" i="3"/>
  <c r="T83" i="1"/>
  <c r="U83" i="1"/>
  <c r="S80" i="1"/>
  <c r="S81" i="1"/>
  <c r="T80" i="1"/>
  <c r="T81" i="1"/>
  <c r="U81" i="1"/>
  <c r="U80" i="1"/>
  <c r="C24" i="1" l="1"/>
  <c r="C32" i="1" s="1"/>
  <c r="W92" i="1" s="1"/>
  <c r="U75" i="1"/>
  <c r="T75" i="1"/>
  <c r="S82" i="1"/>
  <c r="B11" i="3"/>
  <c r="B12" i="3"/>
  <c r="U82" i="1"/>
  <c r="T82" i="1"/>
  <c r="U74" i="1"/>
  <c r="U73" i="1"/>
  <c r="T73" i="1"/>
  <c r="Y74" i="1"/>
  <c r="AL92" i="1" l="1"/>
  <c r="W93" i="1"/>
  <c r="C33" i="1"/>
  <c r="W94" i="1"/>
  <c r="AL94" i="1" s="1"/>
  <c r="B13" i="3"/>
  <c r="B22" i="3"/>
  <c r="C31" i="1"/>
  <c r="B21" i="3"/>
  <c r="W75" i="1" l="1"/>
  <c r="AL93" i="1"/>
  <c r="W74" i="1"/>
  <c r="B24" i="3"/>
  <c r="T74" i="1"/>
  <c r="B25" i="3"/>
  <c r="S83" i="1"/>
  <c r="C35" i="1"/>
  <c r="F37" i="1" s="1"/>
  <c r="S74" i="1" l="1"/>
  <c r="S75" i="1"/>
  <c r="S73" i="1"/>
  <c r="C36" i="1"/>
  <c r="B26" i="3"/>
  <c r="D31" i="1" l="1"/>
  <c r="D35" i="1"/>
  <c r="D36" i="1" l="1"/>
  <c r="E36" i="1"/>
  <c r="X74" i="1"/>
  <c r="D19" i="1"/>
  <c r="G24" i="1" l="1"/>
  <c r="G32" i="1" s="1"/>
  <c r="AA92" i="1" l="1"/>
  <c r="AA93" i="1" s="1"/>
  <c r="AA75" i="1" s="1"/>
  <c r="AA74" i="1"/>
  <c r="G35" i="1"/>
  <c r="AA94" i="1"/>
  <c r="G31" i="1"/>
  <c r="H36" i="1" l="1"/>
  <c r="G36" i="1"/>
  <c r="G33" i="1"/>
</calcChain>
</file>

<file path=xl/sharedStrings.xml><?xml version="1.0" encoding="utf-8"?>
<sst xmlns="http://schemas.openxmlformats.org/spreadsheetml/2006/main" count="383" uniqueCount="257">
  <si>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</si>
  <si>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</si>
  <si>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</si>
  <si>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</si>
  <si>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</si>
  <si>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</si>
  <si>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</si>
  <si>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</si>
  <si>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</si>
  <si>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</si>
  <si>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</si>
  <si>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</si>
  <si>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</si>
  <si>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</si>
  <si>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</si>
  <si>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</si>
  <si>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</si>
  <si>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</si>
  <si>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</si>
  <si>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</si>
  <si>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</si>
  <si>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</si>
  <si>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</si>
  <si>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</si>
  <si>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</si>
  <si>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</si>
  <si>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</si>
  <si>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</si>
  <si>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</si>
  <si>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</si>
  <si>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</si>
  <si>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</si>
  <si>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</si>
  <si>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</si>
  <si>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</si>
  <si>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</si>
  <si>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</si>
  <si>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</si>
  <si>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</si>
  <si>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</si>
  <si>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</si>
  <si>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</si>
  <si>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</si>
  <si>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</si>
  <si>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</si>
  <si>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</si>
  <si>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</si>
  <si>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</si>
  <si>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</si>
  <si>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</si>
  <si>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</si>
  <si>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</si>
  <si>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</si>
  <si>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</si>
  <si>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</si>
  <si>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</si>
  <si>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</si>
  <si>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</si>
  <si>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</si>
  <si>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</si>
  <si>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</si>
  <si>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</si>
  <si>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</si>
  <si>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</si>
  <si>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</si>
  <si>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</si>
  <si>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</si>
  <si>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</si>
  <si>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</si>
  <si>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</si>
  <si>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</si>
  <si>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</si>
  <si>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</si>
  <si>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</si>
  <si>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</si>
  <si>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</si>
  <si>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</si>
  <si>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</si>
  <si>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</si>
  <si>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</si>
  <si>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</si>
  <si>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</si>
  <si>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</si>
  <si>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</si>
  <si>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</si>
  <si>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</si>
  <si>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</si>
  <si>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</si>
  <si>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</si>
  <si>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</si>
  <si>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</si>
  <si>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</si>
  <si>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</si>
  <si>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</si>
  <si>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</si>
  <si>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</si>
  <si>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</si>
  <si>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</si>
  <si>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</si>
  <si>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</si>
  <si>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</si>
  <si>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</si>
  <si>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</si>
  <si>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</si>
  <si>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</si>
  <si>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</si>
  <si>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</si>
  <si>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</si>
  <si>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</si>
  <si>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</si>
  <si>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</si>
  <si>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</si>
  <si>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</si>
  <si>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</si>
  <si>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</si>
  <si>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</si>
  <si>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</si>
  <si>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</si>
  <si>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</si>
  <si>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</si>
  <si>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</si>
  <si>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</si>
  <si>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</si>
  <si>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</si>
  <si>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</si>
  <si>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</si>
  <si>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</si>
  <si>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</si>
  <si>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</si>
  <si>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</si>
  <si>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</si>
  <si>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</si>
  <si>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</si>
  <si>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</si>
  <si>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</si>
  <si>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</si>
  <si>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</si>
  <si>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</si>
  <si>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</si>
  <si>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</si>
  <si>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</si>
  <si>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</si>
  <si>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</si>
  <si>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</si>
  <si>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</si>
  <si>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</si>
  <si>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</si>
  <si>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</si>
  <si>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</si>
  <si>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</si>
  <si>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</si>
  <si>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</si>
  <si>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</si>
  <si>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</si>
  <si>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</si>
  <si>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</si>
  <si>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</si>
  <si>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</si>
  <si>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</si>
  <si>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</si>
  <si>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</si>
  <si>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</si>
  <si>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</si>
  <si>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</si>
  <si>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</si>
  <si>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</si>
  <si>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</si>
  <si>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</si>
  <si>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</si>
  <si>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</si>
  <si>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</si>
  <si>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</si>
  <si>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</si>
  <si>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</si>
  <si>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</si>
  <si>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</si>
  <si>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</si>
  <si>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</si>
  <si>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</si>
  <si>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</si>
  <si>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</si>
  <si>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</si>
  <si>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</si>
  <si>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</si>
  <si>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</si>
  <si>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</si>
  <si>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</si>
  <si>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</si>
  <si>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</si>
  <si>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</si>
  <si>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</si>
  <si>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</si>
  <si>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</si>
  <si>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</si>
  <si>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</si>
  <si>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</si>
  <si>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</si>
  <si>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</si>
  <si>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</si>
  <si>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</si>
  <si>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</si>
  <si>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</si>
  <si>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</si>
  <si>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</si>
  <si>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</si>
  <si>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</si>
  <si>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</si>
  <si>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</si>
  <si>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</si>
  <si>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</si>
  <si>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</si>
  <si>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EBITDA (operations)</t>
  </si>
  <si>
    <t>Financial highlights</t>
  </si>
  <si>
    <t>Operational Highlights</t>
  </si>
  <si>
    <t>FY25</t>
  </si>
  <si>
    <t>FY 25</t>
  </si>
  <si>
    <t>TTM</t>
  </si>
  <si>
    <t>Apr</t>
  </si>
  <si>
    <t>May</t>
  </si>
  <si>
    <t>June</t>
  </si>
  <si>
    <t>Better workiing capital management</t>
  </si>
  <si>
    <t>Sales growth due to increase in urban demand for festivals and healthy monsoon precipitation. However, delayed harvest payment dampens rural demand</t>
  </si>
  <si>
    <t>Apache ECU mass production started</t>
  </si>
  <si>
    <t>Pilot sample submitted for oil level sensor and 4W ISG</t>
  </si>
  <si>
    <t>New production line added in Rewari for ISG assembly for TVSM</t>
  </si>
  <si>
    <t>Received Go Green Gold certification on sustainability</t>
  </si>
  <si>
    <t>Rupee depreciation continued, affecting the import costs</t>
  </si>
  <si>
    <t>Partial compensation received from few customers for non-indexed commodities</t>
  </si>
  <si>
    <t>After market trend looks up consequent to advanced monsoon rains, introduction of new parts and special promotions</t>
  </si>
  <si>
    <t>EPS has increased by Rs. 2.25</t>
  </si>
  <si>
    <t>EBITDA(operations)  YOY increase by 37.9%</t>
  </si>
  <si>
    <t>EBITDA margin has increased from 9.2% to 10.6%</t>
  </si>
  <si>
    <t>PBT increase YOY by 46%</t>
  </si>
  <si>
    <t>Income from operations yoy growth by 20%</t>
  </si>
  <si>
    <t>Q-1</t>
  </si>
  <si>
    <r>
      <t>ROCE</t>
    </r>
    <r>
      <rPr>
        <sz val="12"/>
        <color rgb="FFFF0000"/>
        <rFont val="Calibri"/>
        <family val="2"/>
        <scheme val="minor"/>
      </rPr>
      <t xml:space="preserve">(operations) </t>
    </r>
    <r>
      <rPr>
        <sz val="12"/>
        <color theme="1"/>
        <rFont val="Calibri"/>
        <family val="2"/>
        <scheme val="minor"/>
      </rPr>
      <t>continues to be more than 30%</t>
    </r>
  </si>
  <si>
    <t>Profitability improvement mainly from better control on fixed cost &amp; sales mix (More export)</t>
  </si>
  <si>
    <t>Received Innovation partner award at Generac Supplier meet</t>
  </si>
  <si>
    <r>
      <rPr>
        <sz val="12"/>
        <rFont val="Calibri"/>
        <family val="2"/>
        <scheme val="minor"/>
      </rPr>
      <t>Received Platinum 5-Star Award</t>
    </r>
    <r>
      <rPr>
        <sz val="11"/>
        <rFont val="Aptos"/>
        <family val="2"/>
      </rPr>
      <t xml:space="preserve"> in the </t>
    </r>
    <r>
      <rPr>
        <i/>
        <sz val="11"/>
        <rFont val="Aptos"/>
        <family val="2"/>
      </rPr>
      <t>ESG Compliant Automotive Manufacturer</t>
    </r>
    <r>
      <rPr>
        <sz val="11"/>
        <rFont val="Aptos"/>
        <family val="2"/>
      </rPr>
      <t xml:space="preserve"> category by World Safety Organisation</t>
    </r>
  </si>
  <si>
    <t>Sales registered YoY growth by 3M 20%,  Vs Industry 12%</t>
  </si>
  <si>
    <t xml:space="preserve">Due to geo political situation China restricted the export of magnet </t>
  </si>
  <si>
    <t xml:space="preserve">US Tariff @ 25 % from 7th August </t>
  </si>
  <si>
    <t>Q-1   25</t>
  </si>
  <si>
    <t>Q-2   25</t>
  </si>
  <si>
    <t>July</t>
  </si>
  <si>
    <t>Aug</t>
  </si>
  <si>
    <t>Sept</t>
  </si>
  <si>
    <t>G. Total</t>
  </si>
  <si>
    <t>As on date</t>
  </si>
  <si>
    <t>To be taken as Net</t>
  </si>
  <si>
    <t>9M-FY26</t>
  </si>
  <si>
    <t>Annualised</t>
  </si>
  <si>
    <t>Taken for 9 Month</t>
  </si>
  <si>
    <t>We need to update after board meeting</t>
  </si>
  <si>
    <t>9 Months figure need to be Annualised</t>
  </si>
  <si>
    <t>Q3 25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</si>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</sst>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  <font>
      <b/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Aptos"/>
      <family val="2"/>
    </font>
    <font>
      <i/>
      <sz val="11"/>
      <name val="Aptos"/>
      <family val="2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0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5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0" fillId="2" borderId="6" xfId="0" applyFill="1" applyBorder="1" applyAlignment="1">
      <alignment vertical="top"/>
    </xf>
    <xf numFmtId="165" fontId="0" fillId="2" borderId="1" xfId="2" applyNumberFormat="1" applyFont="1" applyFill="1" applyBorder="1" applyAlignment="1">
      <alignment vertical="top"/>
    </xf>
    <xf numFmtId="165" fontId="0" fillId="2" borderId="1" xfId="2" applyNumberFormat="1" applyFont="1" applyFill="1" applyBorder="1" applyAlignment="1">
      <alignment horizontal="right" vertical="top"/>
    </xf>
    <xf numFmtId="166" fontId="0" fillId="0" borderId="1" xfId="3" applyNumberFormat="1" applyFont="1" applyFill="1" applyBorder="1"/>
    <xf numFmtId="166" fontId="3" fillId="0" borderId="1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9" fontId="0" fillId="0" borderId="0" xfId="3" applyNumberFormat="1" applyFont="1" applyFill="1" applyBorder="1" applyAlignment="1">
      <alignment horizontal="left" vertical="center" indent="3"/>
    </xf>
    <xf numFmtId="49" fontId="11" fillId="0" borderId="0" xfId="3" applyNumberFormat="1" applyFont="1" applyFill="1" applyBorder="1" applyAlignment="1">
      <alignment horizontal="left" vertical="center" indent="3"/>
    </xf>
    <xf numFmtId="166" fontId="0" fillId="0" borderId="32" xfId="3" applyNumberFormat="1" applyFont="1" applyFill="1" applyBorder="1"/>
    <xf numFmtId="166" fontId="0" fillId="0" borderId="0" xfId="3" applyNumberFormat="1" applyFont="1" applyFill="1" applyBorder="1"/>
    <xf numFmtId="166" fontId="0" fillId="0" borderId="18" xfId="3" applyNumberFormat="1" applyFont="1" applyFill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167" fontId="17" fillId="0" borderId="0" xfId="3" applyNumberFormat="1" applyFont="1" applyFill="1" applyBorder="1" applyAlignment="1">
      <alignment horizontal="right" vertical="center" wrapText="1"/>
    </xf>
    <xf numFmtId="166" fontId="3" fillId="0" borderId="0" xfId="3" applyNumberFormat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43" fontId="0" fillId="0" borderId="0" xfId="3" applyFont="1" applyFill="1" applyBorder="1"/>
    <xf numFmtId="43" fontId="3" fillId="0" borderId="1" xfId="3" applyFont="1" applyFill="1" applyBorder="1"/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1" fontId="0" fillId="0" borderId="1" xfId="3" applyNumberFormat="1" applyFont="1" applyFill="1" applyBorder="1"/>
    <xf numFmtId="165" fontId="18" fillId="0" borderId="0" xfId="2" applyNumberFormat="1" applyFont="1" applyFill="1" applyBorder="1" applyAlignment="1">
      <alignment horizontal="right"/>
    </xf>
    <xf numFmtId="10" fontId="6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43" fontId="3" fillId="0" borderId="0" xfId="3" applyFont="1" applyFill="1" applyBorder="1"/>
    <xf numFmtId="166" fontId="0" fillId="0" borderId="13" xfId="3" applyNumberFormat="1" applyFont="1" applyFill="1" applyBorder="1"/>
    <xf numFmtId="166" fontId="0" fillId="0" borderId="43" xfId="3" applyNumberFormat="1" applyFont="1" applyFill="1" applyBorder="1"/>
    <xf numFmtId="166" fontId="9" fillId="0" borderId="13" xfId="3" applyNumberFormat="1" applyFont="1" applyFill="1" applyBorder="1"/>
    <xf numFmtId="165" fontId="23" fillId="0" borderId="0" xfId="2" applyNumberFormat="1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5" xfId="0" applyFont="1" applyBorder="1" applyAlignment="1">
      <alignment horizontal="center"/>
    </xf>
    <xf numFmtId="0" fontId="7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7" fillId="0" borderId="14" xfId="1" applyFont="1" applyBorder="1"/>
    <xf numFmtId="0" fontId="7" fillId="0" borderId="13" xfId="1" applyFont="1" applyBorder="1"/>
    <xf numFmtId="0" fontId="3" fillId="0" borderId="13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165" fontId="0" fillId="0" borderId="0" xfId="2" applyNumberFormat="1" applyFont="1" applyFill="1" applyBorder="1"/>
    <xf numFmtId="165" fontId="2" fillId="0" borderId="0" xfId="2" applyNumberFormat="1" applyFont="1" applyFill="1"/>
    <xf numFmtId="0" fontId="0" fillId="0" borderId="4" xfId="0" applyBorder="1"/>
    <xf numFmtId="166" fontId="0" fillId="0" borderId="16" xfId="3" applyNumberFormat="1" applyFont="1" applyFill="1" applyBorder="1"/>
    <xf numFmtId="3" fontId="0" fillId="0" borderId="16" xfId="0" applyNumberFormat="1" applyBorder="1"/>
    <xf numFmtId="3" fontId="0" fillId="0" borderId="20" xfId="0" applyNumberFormat="1" applyBorder="1"/>
    <xf numFmtId="0" fontId="0" fillId="0" borderId="1" xfId="0" applyBorder="1"/>
    <xf numFmtId="3" fontId="9" fillId="0" borderId="1" xfId="0" applyNumberFormat="1" applyFont="1" applyBorder="1"/>
    <xf numFmtId="3" fontId="9" fillId="0" borderId="0" xfId="0" applyNumberFormat="1" applyFont="1"/>
    <xf numFmtId="0" fontId="0" fillId="0" borderId="6" xfId="0" applyBorder="1"/>
    <xf numFmtId="166" fontId="0" fillId="0" borderId="7" xfId="3" applyNumberFormat="1" applyFont="1" applyFill="1" applyBorder="1"/>
    <xf numFmtId="4" fontId="0" fillId="0" borderId="7" xfId="0" applyNumberFormat="1" applyBorder="1"/>
    <xf numFmtId="4" fontId="0" fillId="0" borderId="15" xfId="0" applyNumberFormat="1" applyBorder="1"/>
    <xf numFmtId="3" fontId="0" fillId="0" borderId="7" xfId="0" applyNumberFormat="1" applyBorder="1"/>
    <xf numFmtId="3" fontId="0" fillId="0" borderId="15" xfId="0" applyNumberFormat="1" applyBorder="1"/>
    <xf numFmtId="3" fontId="0" fillId="0" borderId="32" xfId="0" applyNumberFormat="1" applyBorder="1"/>
    <xf numFmtId="43" fontId="0" fillId="0" borderId="0" xfId="3" applyFont="1" applyFill="1"/>
    <xf numFmtId="0" fontId="3" fillId="0" borderId="14" xfId="0" applyFont="1" applyBorder="1"/>
    <xf numFmtId="166" fontId="3" fillId="0" borderId="13" xfId="3" applyNumberFormat="1" applyFont="1" applyFill="1" applyBorder="1"/>
    <xf numFmtId="166" fontId="3" fillId="0" borderId="31" xfId="3" applyNumberFormat="1" applyFont="1" applyFill="1" applyBorder="1"/>
    <xf numFmtId="0" fontId="5" fillId="0" borderId="1" xfId="0" applyFont="1" applyBorder="1"/>
    <xf numFmtId="165" fontId="6" fillId="0" borderId="1" xfId="2" applyNumberFormat="1" applyFont="1" applyFill="1" applyBorder="1" applyAlignment="1">
      <alignment horizontal="right"/>
    </xf>
    <xf numFmtId="165" fontId="23" fillId="0" borderId="1" xfId="2" applyNumberFormat="1" applyFont="1" applyFill="1" applyBorder="1" applyAlignment="1">
      <alignment horizontal="right"/>
    </xf>
    <xf numFmtId="166" fontId="0" fillId="0" borderId="20" xfId="3" applyNumberFormat="1" applyFont="1" applyFill="1" applyBorder="1"/>
    <xf numFmtId="0" fontId="0" fillId="0" borderId="5" xfId="0" applyBorder="1"/>
    <xf numFmtId="166" fontId="0" fillId="0" borderId="15" xfId="3" applyNumberFormat="1" applyFont="1" applyFill="1" applyBorder="1"/>
    <xf numFmtId="0" fontId="3" fillId="0" borderId="9" xfId="0" applyFont="1" applyBorder="1"/>
    <xf numFmtId="166" fontId="3" fillId="0" borderId="3" xfId="3" applyNumberFormat="1" applyFont="1" applyFill="1" applyBorder="1"/>
    <xf numFmtId="166" fontId="3" fillId="0" borderId="34" xfId="3" applyNumberFormat="1" applyFont="1" applyFill="1" applyBorder="1"/>
    <xf numFmtId="0" fontId="3" fillId="0" borderId="5" xfId="0" applyFont="1" applyBorder="1"/>
    <xf numFmtId="166" fontId="3" fillId="0" borderId="32" xfId="3" applyNumberFormat="1" applyFont="1" applyFill="1" applyBorder="1"/>
    <xf numFmtId="0" fontId="8" fillId="0" borderId="1" xfId="1" applyFont="1" applyBorder="1"/>
    <xf numFmtId="2" fontId="3" fillId="0" borderId="1" xfId="0" applyNumberFormat="1" applyFont="1" applyBorder="1"/>
    <xf numFmtId="2" fontId="3" fillId="0" borderId="32" xfId="0" applyNumberFormat="1" applyFont="1" applyBorder="1"/>
    <xf numFmtId="2" fontId="0" fillId="0" borderId="1" xfId="0" applyNumberFormat="1" applyBorder="1"/>
    <xf numFmtId="1" fontId="0" fillId="0" borderId="1" xfId="0" applyNumberFormat="1" applyBorder="1"/>
    <xf numFmtId="1" fontId="0" fillId="0" borderId="32" xfId="0" applyNumberFormat="1" applyBorder="1"/>
    <xf numFmtId="2" fontId="0" fillId="0" borderId="1" xfId="2" applyNumberFormat="1" applyFont="1" applyFill="1" applyBorder="1"/>
    <xf numFmtId="166" fontId="9" fillId="0" borderId="1" xfId="3" applyNumberFormat="1" applyFont="1" applyFill="1" applyBorder="1"/>
    <xf numFmtId="10" fontId="13" fillId="0" borderId="1" xfId="2" applyNumberFormat="1" applyFont="1" applyFill="1" applyBorder="1"/>
    <xf numFmtId="10" fontId="0" fillId="0" borderId="1" xfId="2" applyNumberFormat="1" applyFont="1" applyFill="1" applyBorder="1"/>
    <xf numFmtId="0" fontId="0" fillId="0" borderId="32" xfId="0" applyBorder="1"/>
    <xf numFmtId="166" fontId="0" fillId="0" borderId="1" xfId="0" applyNumberFormat="1" applyBorder="1"/>
    <xf numFmtId="166" fontId="0" fillId="0" borderId="0" xfId="0" applyNumberFormat="1"/>
    <xf numFmtId="4" fontId="0" fillId="0" borderId="1" xfId="0" applyNumberFormat="1" applyBorder="1"/>
    <xf numFmtId="9" fontId="0" fillId="0" borderId="1" xfId="2" applyFont="1" applyFill="1" applyBorder="1"/>
    <xf numFmtId="10" fontId="3" fillId="0" borderId="1" xfId="2" applyNumberFormat="1" applyFont="1" applyFill="1" applyBorder="1"/>
    <xf numFmtId="0" fontId="3" fillId="0" borderId="21" xfId="0" applyFont="1" applyBorder="1"/>
    <xf numFmtId="166" fontId="3" fillId="0" borderId="2" xfId="3" applyNumberFormat="1" applyFont="1" applyFill="1" applyBorder="1"/>
    <xf numFmtId="166" fontId="3" fillId="0" borderId="33" xfId="3" applyNumberFormat="1" applyFont="1" applyFill="1" applyBorder="1"/>
    <xf numFmtId="0" fontId="0" fillId="0" borderId="10" xfId="0" applyBorder="1"/>
    <xf numFmtId="0" fontId="0" fillId="0" borderId="11" xfId="0" applyBorder="1"/>
    <xf numFmtId="10" fontId="6" fillId="0" borderId="1" xfId="2" applyNumberFormat="1" applyFont="1" applyFill="1" applyBorder="1"/>
    <xf numFmtId="0" fontId="3" fillId="0" borderId="3" xfId="0" applyFont="1" applyBorder="1"/>
    <xf numFmtId="0" fontId="0" fillId="0" borderId="3" xfId="0" applyBorder="1"/>
    <xf numFmtId="0" fontId="0" fillId="0" borderId="34" xfId="0" applyBorder="1"/>
    <xf numFmtId="165" fontId="0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3" fillId="0" borderId="4" xfId="0" applyFont="1" applyBorder="1"/>
    <xf numFmtId="166" fontId="3" fillId="0" borderId="16" xfId="3" applyNumberFormat="1" applyFont="1" applyFill="1" applyBorder="1"/>
    <xf numFmtId="166" fontId="3" fillId="0" borderId="20" xfId="3" applyNumberFormat="1" applyFont="1" applyFill="1" applyBorder="1"/>
    <xf numFmtId="0" fontId="0" fillId="0" borderId="19" xfId="0" applyBorder="1"/>
    <xf numFmtId="166" fontId="3" fillId="0" borderId="25" xfId="3" applyNumberFormat="1" applyFont="1" applyFill="1" applyBorder="1"/>
    <xf numFmtId="166" fontId="3" fillId="0" borderId="28" xfId="3" applyNumberFormat="1" applyFont="1" applyFill="1" applyBorder="1"/>
    <xf numFmtId="166" fontId="3" fillId="0" borderId="30" xfId="3" applyNumberFormat="1" applyFont="1" applyFill="1" applyBorder="1"/>
    <xf numFmtId="166" fontId="3" fillId="0" borderId="7" xfId="3" applyNumberFormat="1" applyFont="1" applyFill="1" applyBorder="1"/>
    <xf numFmtId="3" fontId="3" fillId="0" borderId="7" xfId="0" applyNumberFormat="1" applyFont="1" applyBorder="1"/>
    <xf numFmtId="3" fontId="3" fillId="0" borderId="15" xfId="0" applyNumberFormat="1" applyFont="1" applyBorder="1"/>
    <xf numFmtId="0" fontId="3" fillId="0" borderId="4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34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164" fontId="0" fillId="0" borderId="5" xfId="0" applyNumberFormat="1" applyBorder="1"/>
    <xf numFmtId="0" fontId="9" fillId="0" borderId="1" xfId="0" applyFont="1" applyBorder="1"/>
    <xf numFmtId="49" fontId="0" fillId="0" borderId="31" xfId="3" applyNumberFormat="1" applyFont="1" applyFill="1" applyBorder="1" applyAlignment="1">
      <alignment horizontal="left" vertical="center" indent="3"/>
    </xf>
    <xf numFmtId="164" fontId="0" fillId="0" borderId="0" xfId="0" applyNumberFormat="1"/>
    <xf numFmtId="4" fontId="0" fillId="0" borderId="32" xfId="0" applyNumberFormat="1" applyBorder="1"/>
    <xf numFmtId="0" fontId="11" fillId="0" borderId="0" xfId="0" applyFont="1"/>
    <xf numFmtId="2" fontId="9" fillId="0" borderId="1" xfId="0" applyNumberFormat="1" applyFont="1" applyBorder="1"/>
    <xf numFmtId="2" fontId="0" fillId="0" borderId="8" xfId="0" applyNumberFormat="1" applyBorder="1"/>
    <xf numFmtId="2" fontId="0" fillId="0" borderId="32" xfId="0" applyNumberFormat="1" applyBorder="1"/>
    <xf numFmtId="168" fontId="0" fillId="0" borderId="0" xfId="3" applyNumberFormat="1" applyFont="1" applyFill="1"/>
    <xf numFmtId="165" fontId="0" fillId="0" borderId="5" xfId="0" applyNumberFormat="1" applyBorder="1"/>
    <xf numFmtId="10" fontId="9" fillId="0" borderId="1" xfId="2" applyNumberFormat="1" applyFont="1" applyFill="1" applyBorder="1"/>
    <xf numFmtId="43" fontId="0" fillId="0" borderId="0" xfId="0" applyNumberFormat="1"/>
    <xf numFmtId="14" fontId="0" fillId="0" borderId="0" xfId="0" applyNumberFormat="1"/>
    <xf numFmtId="1" fontId="9" fillId="0" borderId="1" xfId="0" applyNumberFormat="1" applyFont="1" applyBorder="1"/>
    <xf numFmtId="0" fontId="9" fillId="0" borderId="6" xfId="0" applyFont="1" applyBorder="1"/>
    <xf numFmtId="0" fontId="0" fillId="0" borderId="7" xfId="0" applyBorder="1"/>
    <xf numFmtId="9" fontId="0" fillId="0" borderId="7" xfId="2" applyFont="1" applyFill="1" applyBorder="1"/>
    <xf numFmtId="0" fontId="3" fillId="0" borderId="0" xfId="0" applyFont="1"/>
    <xf numFmtId="166" fontId="3" fillId="0" borderId="0" xfId="0" applyNumberFormat="1" applyFont="1"/>
    <xf numFmtId="166" fontId="11" fillId="0" borderId="0" xfId="0" applyNumberFormat="1" applyFont="1"/>
    <xf numFmtId="165" fontId="3" fillId="0" borderId="0" xfId="2" applyNumberFormat="1" applyFont="1" applyFill="1"/>
    <xf numFmtId="10" fontId="3" fillId="0" borderId="0" xfId="2" applyNumberFormat="1" applyFont="1" applyFill="1"/>
    <xf numFmtId="165" fontId="0" fillId="0" borderId="0" xfId="2" applyNumberFormat="1" applyFont="1" applyFill="1"/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4" fontId="0" fillId="4" borderId="32" xfId="0" applyNumberFormat="1" applyFont="1" applyFill="1" applyBorder="1"/>
    <xf numFmtId="166" fontId="0" fillId="4" borderId="22" xfId="3" applyNumberFormat="1" applyFont="1" applyFill="1" applyBorder="1"/>
    <xf numFmtId="166" fontId="0" fillId="4" borderId="24" xfId="3" applyNumberFormat="1" applyFont="1" applyFill="1" applyBorder="1"/>
    <xf numFmtId="166" fontId="0" fillId="4" borderId="42" xfId="3" applyNumberFormat="1" applyFont="1" applyFill="1" applyBorder="1"/>
    <xf numFmtId="166" fontId="3" fillId="4" borderId="25" xfId="3" applyNumberFormat="1" applyFont="1" applyFill="1" applyBorder="1"/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ianippon-my.sharepoint.com/personal/arabinda_mohanty_inel_co_in/Documents/Desktop/Q%203/Financial/Consolidated%20FS%20December%20%202025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ef Tax  on invst"/>
      <sheetName val="Audit JV 26"/>
      <sheetName val="Deferred tax computation"/>
      <sheetName val="IT Dep"/>
      <sheetName val="DT on Investments AG"/>
      <sheetName val="Tax Cal"/>
      <sheetName val="BS"/>
      <sheetName val="P&amp;L"/>
      <sheetName val="CFS"/>
      <sheetName val="SOCIE"/>
      <sheetName val="Notes"/>
      <sheetName val="AP3(2)"/>
      <sheetName val="AP3(3)"/>
      <sheetName val="AP3(4)"/>
      <sheetName val="AP3(5)"/>
      <sheetName val="AP3(6)"/>
      <sheetName val="4-6"/>
      <sheetName val="10"/>
      <sheetName val="11-15"/>
      <sheetName val="16.1"/>
      <sheetName val="16.2"/>
      <sheetName val="17-23"/>
      <sheetName val="7-8"/>
      <sheetName val="9 to 27"/>
      <sheetName val="Receivables"/>
      <sheetName val="28-36"/>
      <sheetName val="28-30"/>
      <sheetName val="37 -40"/>
      <sheetName val="Sheet2"/>
      <sheetName val="33"/>
      <sheetName val="34"/>
      <sheetName val="Ajustment entry"/>
      <sheetName val="39."/>
      <sheetName val="40-43"/>
      <sheetName val="36_37"/>
      <sheetName val="44-46"/>
      <sheetName val="40-49"/>
      <sheetName val="Discussion"/>
      <sheetName val="47-52"/>
      <sheetName val="Group TB 26"/>
      <sheetName val="Group TB 25"/>
      <sheetName val="Hosur"/>
      <sheetName val="Tech"/>
      <sheetName val="Rewari"/>
      <sheetName val="Kolapur"/>
      <sheetName val="Pondy"/>
      <sheetName val="Trial balance March 2024"/>
      <sheetName val="53"/>
      <sheetName val="Book Adj entries"/>
      <sheetName val="SCH-III Changes"/>
      <sheetName val="SEC_129(3)_ASSOCIATE"/>
      <sheetName val="SEC_129(3)_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8">
          <cell r="C38">
            <v>2191.1438300000009</v>
          </cell>
        </row>
        <row r="50">
          <cell r="C50">
            <v>-3163.7583231683529</v>
          </cell>
        </row>
        <row r="58">
          <cell r="C58">
            <v>-92.879459999999995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80" zoomScaleNormal="80" zoomScaleSheetLayoutView="91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L74" sqref="L74"/>
    </sheetView>
  </sheetViews>
  <sheetFormatPr defaultRowHeight="15" x14ac:dyDescent="0.25"/>
  <cols>
    <col min="1" max="1" width="40.28515625" customWidth="1"/>
    <col min="2" max="2" width="12.42578125" customWidth="1"/>
    <col min="3" max="6" width="12.85546875" bestFit="1" customWidth="1"/>
    <col min="7" max="7" width="13.42578125" bestFit="1" customWidth="1"/>
    <col min="8" max="8" width="13.42578125" customWidth="1"/>
    <col min="9" max="10" width="12.85546875" customWidth="1"/>
    <col min="11" max="11" width="14.140625" customWidth="1"/>
    <col min="12" max="12" width="12.42578125" customWidth="1"/>
    <col min="13" max="14" width="12.85546875" customWidth="1"/>
    <col min="15" max="15" width="39.28515625" bestFit="1" customWidth="1"/>
    <col min="16" max="16" width="9.85546875" customWidth="1"/>
    <col min="17" max="17" width="39.42578125" customWidth="1"/>
    <col min="18" max="18" width="6.42578125" hidden="1" customWidth="1"/>
    <col min="19" max="19" width="7.140625" bestFit="1" customWidth="1"/>
    <col min="20" max="20" width="0.140625" customWidth="1"/>
    <col min="21" max="22" width="8.7109375" bestFit="1" customWidth="1"/>
    <col min="23" max="26" width="7.7109375" bestFit="1" customWidth="1"/>
    <col min="27" max="27" width="9.140625" bestFit="1" customWidth="1"/>
    <col min="28" max="28" width="12.140625" bestFit="1" customWidth="1"/>
    <col min="29" max="29" width="13.28515625" customWidth="1"/>
    <col min="32" max="33" width="11.42578125" bestFit="1" customWidth="1"/>
    <col min="38" max="38" width="13.140625" bestFit="1" customWidth="1"/>
    <col min="42" max="42" width="5" bestFit="1" customWidth="1"/>
  </cols>
  <sheetData>
    <row r="1" spans="1:28" ht="15.75" thickBot="1" x14ac:dyDescent="0.3"/>
    <row r="2" spans="1:28" ht="15.75" thickBot="1" x14ac:dyDescent="0.3">
      <c r="A2" s="194" t="s">
        <v>188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</row>
    <row r="4" spans="1:28" x14ac:dyDescent="0.25">
      <c r="A4" s="197" t="s">
        <v>0</v>
      </c>
      <c r="B4" s="198"/>
      <c r="C4" s="198"/>
      <c r="D4" s="198"/>
      <c r="E4" s="198"/>
      <c r="F4" s="198"/>
      <c r="G4" s="198"/>
      <c r="H4" s="198"/>
      <c r="I4" s="198"/>
      <c r="J4" s="200"/>
      <c r="K4" s="200"/>
      <c r="L4" s="200"/>
      <c r="M4" s="201"/>
      <c r="N4" s="60"/>
      <c r="O4" s="60"/>
      <c r="Q4" s="197" t="s">
        <v>141</v>
      </c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9"/>
    </row>
    <row r="5" spans="1:28" ht="15.75" thickBot="1" x14ac:dyDescent="0.3">
      <c r="A5" s="62" t="s">
        <v>23</v>
      </c>
      <c r="B5" s="63" t="s">
        <v>5</v>
      </c>
      <c r="C5" s="63" t="s">
        <v>6</v>
      </c>
      <c r="D5" s="63" t="s">
        <v>171</v>
      </c>
      <c r="E5" s="63" t="s">
        <v>172</v>
      </c>
      <c r="F5" s="63" t="s">
        <v>182</v>
      </c>
      <c r="G5" s="63" t="s">
        <v>209</v>
      </c>
      <c r="H5" s="63" t="s">
        <v>214</v>
      </c>
      <c r="I5" s="63" t="s">
        <v>250</v>
      </c>
      <c r="J5" s="64"/>
      <c r="K5" s="64"/>
      <c r="L5" s="65"/>
      <c r="M5" s="66"/>
      <c r="N5" s="66"/>
      <c r="O5" s="67" t="s">
        <v>1</v>
      </c>
      <c r="P5" s="68" t="s">
        <v>104</v>
      </c>
      <c r="Q5" s="69" t="s">
        <v>2</v>
      </c>
      <c r="R5" s="69" t="s">
        <v>3</v>
      </c>
      <c r="S5" s="69" t="s">
        <v>4</v>
      </c>
      <c r="T5" s="69" t="s">
        <v>5</v>
      </c>
      <c r="U5" s="69" t="s">
        <v>6</v>
      </c>
      <c r="V5" s="69" t="s">
        <v>171</v>
      </c>
      <c r="W5" s="69" t="s">
        <v>172</v>
      </c>
      <c r="X5" s="70" t="s">
        <v>182</v>
      </c>
      <c r="Y5" s="70" t="s">
        <v>209</v>
      </c>
      <c r="Z5" s="71" t="s">
        <v>214</v>
      </c>
      <c r="AA5" s="72" t="str">
        <f>I5</f>
        <v>9M-FY26</v>
      </c>
    </row>
    <row r="6" spans="1:28" x14ac:dyDescent="0.25">
      <c r="A6" s="73" t="s">
        <v>190</v>
      </c>
      <c r="B6" s="16">
        <v>5252</v>
      </c>
      <c r="C6" s="16">
        <v>4788</v>
      </c>
      <c r="D6" s="16">
        <v>4812</v>
      </c>
      <c r="E6" s="74">
        <v>5663</v>
      </c>
      <c r="F6" s="74">
        <v>6562.5</v>
      </c>
      <c r="G6" s="74">
        <v>7240.8</v>
      </c>
      <c r="H6" s="75">
        <v>8448.2999999999993</v>
      </c>
      <c r="I6" s="75">
        <f>76902/10</f>
        <v>7690.2</v>
      </c>
      <c r="J6" s="76"/>
      <c r="K6" s="76"/>
      <c r="L6" s="76"/>
      <c r="M6" s="77"/>
      <c r="N6" s="78"/>
      <c r="O6" s="79" t="s">
        <v>30</v>
      </c>
      <c r="P6" s="80">
        <v>197.88</v>
      </c>
      <c r="Q6" s="80">
        <v>234.64599999999999</v>
      </c>
      <c r="R6" s="80">
        <v>234.64599999999999</v>
      </c>
      <c r="S6" s="80">
        <v>234.64599999999999</v>
      </c>
      <c r="T6" s="81">
        <v>113</v>
      </c>
      <c r="U6" s="81">
        <v>113</v>
      </c>
      <c r="V6" s="82">
        <v>113</v>
      </c>
      <c r="W6" s="81">
        <v>113</v>
      </c>
      <c r="X6" s="82">
        <v>113</v>
      </c>
      <c r="Y6" s="82">
        <v>113.1</v>
      </c>
      <c r="Z6" s="82">
        <v>113.1</v>
      </c>
      <c r="AA6" s="15">
        <v>113.1</v>
      </c>
    </row>
    <row r="7" spans="1:28" ht="15.75" thickBot="1" x14ac:dyDescent="0.3">
      <c r="A7" s="83" t="s">
        <v>16</v>
      </c>
      <c r="B7" s="15">
        <f>147-B71-B75</f>
        <v>135.547</v>
      </c>
      <c r="C7" s="15">
        <f>263-C71-C75</f>
        <v>260.44800000000004</v>
      </c>
      <c r="D7" s="15">
        <f>162-D71-D75</f>
        <v>151.52799999999999</v>
      </c>
      <c r="E7" s="75">
        <f>253-E71-E75</f>
        <v>251.93799999999999</v>
      </c>
      <c r="F7" s="75">
        <v>225.6</v>
      </c>
      <c r="G7" s="75">
        <v>248.7</v>
      </c>
      <c r="H7" s="84">
        <f>301.1-I71-I75</f>
        <v>287.10000000000002</v>
      </c>
      <c r="I7" s="84">
        <f>2741/10-M71</f>
        <v>250.99700000000001</v>
      </c>
      <c r="J7" s="85"/>
      <c r="K7" s="76"/>
      <c r="L7" s="76"/>
      <c r="M7" s="76"/>
      <c r="N7" s="78"/>
      <c r="O7" s="86" t="s">
        <v>31</v>
      </c>
      <c r="P7" s="87">
        <v>2717.3919999999998</v>
      </c>
      <c r="Q7" s="87">
        <v>2956.4349999999999</v>
      </c>
      <c r="R7" s="87">
        <v>3105.165</v>
      </c>
      <c r="S7" s="87">
        <v>3586.8150000000001</v>
      </c>
      <c r="T7" s="88">
        <v>3891</v>
      </c>
      <c r="U7" s="88">
        <v>4085</v>
      </c>
      <c r="V7" s="89">
        <v>4397</v>
      </c>
      <c r="W7" s="90">
        <v>4939</v>
      </c>
      <c r="X7" s="91">
        <v>5490.2</v>
      </c>
      <c r="Y7" s="91">
        <v>6119.4</v>
      </c>
      <c r="Z7" s="92">
        <v>6998.7</v>
      </c>
      <c r="AA7" s="15">
        <v>8155.0929690000003</v>
      </c>
      <c r="AB7" s="93"/>
    </row>
    <row r="8" spans="1:28" ht="15.75" thickBot="1" x14ac:dyDescent="0.3">
      <c r="A8" s="73" t="s">
        <v>7</v>
      </c>
      <c r="B8" s="16">
        <f t="shared" ref="B8:C8" si="0">B6+B7</f>
        <v>5387.5469999999996</v>
      </c>
      <c r="C8" s="16">
        <f t="shared" si="0"/>
        <v>5048.4480000000003</v>
      </c>
      <c r="D8" s="16">
        <f t="shared" ref="D8:H8" si="1">D6+D7</f>
        <v>4963.5280000000002</v>
      </c>
      <c r="E8" s="16">
        <f t="shared" si="1"/>
        <v>5914.9380000000001</v>
      </c>
      <c r="F8" s="16">
        <f t="shared" si="1"/>
        <v>6788.1</v>
      </c>
      <c r="G8" s="16">
        <f t="shared" si="1"/>
        <v>7489.5</v>
      </c>
      <c r="H8" s="16">
        <f t="shared" si="1"/>
        <v>8735.4</v>
      </c>
      <c r="I8" s="16">
        <f>I6+I7</f>
        <v>7941.1970000000001</v>
      </c>
      <c r="J8" s="35"/>
      <c r="K8" s="35"/>
      <c r="L8" s="35"/>
      <c r="M8" s="77"/>
      <c r="N8" s="78"/>
      <c r="O8" s="94" t="s">
        <v>63</v>
      </c>
      <c r="P8" s="95">
        <f>SUM(P6:P7)</f>
        <v>2915.2719999999999</v>
      </c>
      <c r="Q8" s="95">
        <f>SUM(Q6:Q7)</f>
        <v>3191.0810000000001</v>
      </c>
      <c r="R8" s="95">
        <f t="shared" ref="R8:U8" si="2">SUM(R6:R7)</f>
        <v>3339.8110000000001</v>
      </c>
      <c r="S8" s="95">
        <f t="shared" si="2"/>
        <v>3821.4610000000002</v>
      </c>
      <c r="T8" s="95">
        <f t="shared" si="2"/>
        <v>4004</v>
      </c>
      <c r="U8" s="95">
        <f t="shared" si="2"/>
        <v>4198</v>
      </c>
      <c r="V8" s="95">
        <f>SUM(V6:V7)</f>
        <v>4510</v>
      </c>
      <c r="W8" s="95">
        <f>SUM(W6:W7)</f>
        <v>5052</v>
      </c>
      <c r="X8" s="96">
        <f>SUM(X6:X7)</f>
        <v>5603.2</v>
      </c>
      <c r="Y8" s="96">
        <f>Y7+Y6</f>
        <v>6232.5</v>
      </c>
      <c r="Z8" s="96">
        <f>Z7+Z6</f>
        <v>7111.8</v>
      </c>
      <c r="AA8" s="96">
        <f>AA7+AA6</f>
        <v>8268.1929689999997</v>
      </c>
    </row>
    <row r="9" spans="1:28" x14ac:dyDescent="0.25">
      <c r="A9" s="97" t="s">
        <v>8</v>
      </c>
      <c r="B9" s="98"/>
      <c r="C9" s="98">
        <f>+C8/B8-1</f>
        <v>-6.2941260651647069E-2</v>
      </c>
      <c r="D9" s="98">
        <f>+D8/C8-1</f>
        <v>-1.6821011130549457E-2</v>
      </c>
      <c r="E9" s="98">
        <f>E8/D8-1</f>
        <v>0.19168019199246977</v>
      </c>
      <c r="F9" s="98">
        <f>F8/E8-1</f>
        <v>0.1476198059895133</v>
      </c>
      <c r="G9" s="98">
        <f>G8/F8-1</f>
        <v>0.10332788261811099</v>
      </c>
      <c r="H9" s="98">
        <f>H8/G8-1</f>
        <v>0.16635289405167231</v>
      </c>
      <c r="I9" s="99"/>
      <c r="J9" s="54" t="s">
        <v>254</v>
      </c>
      <c r="K9" s="47"/>
      <c r="L9" s="76"/>
      <c r="M9" s="76"/>
      <c r="N9" s="78"/>
      <c r="O9" s="79" t="s">
        <v>32</v>
      </c>
      <c r="P9" s="80">
        <v>4.13</v>
      </c>
      <c r="Q9" s="80">
        <v>3.39</v>
      </c>
      <c r="R9" s="80">
        <v>3.0910000000000002</v>
      </c>
      <c r="S9" s="80">
        <v>3.0790000000000002</v>
      </c>
      <c r="T9" s="80"/>
      <c r="U9" s="80"/>
      <c r="V9" s="80"/>
      <c r="W9" s="80"/>
      <c r="X9" s="100"/>
      <c r="Y9" s="80"/>
      <c r="Z9" s="15"/>
      <c r="AA9" s="15"/>
    </row>
    <row r="10" spans="1:28" x14ac:dyDescent="0.25">
      <c r="A10" s="97" t="s">
        <v>9</v>
      </c>
      <c r="B10" s="98"/>
      <c r="C10" s="98"/>
      <c r="D10" s="98"/>
      <c r="E10" s="98">
        <f>((E8/B8)^(1/3)-1)</f>
        <v>3.1619893285841583E-2</v>
      </c>
      <c r="F10" s="98">
        <f>((F8/C8)^(1/3)-1)</f>
        <v>0.10373152743222058</v>
      </c>
      <c r="G10" s="98">
        <f>((G8/D8)^(1/3)-1)</f>
        <v>0.14697543418892556</v>
      </c>
      <c r="H10" s="98">
        <f>((H8/E8)^(1/3)-1)</f>
        <v>0.13879145542980842</v>
      </c>
      <c r="I10" s="99"/>
      <c r="J10" s="54" t="s">
        <v>254</v>
      </c>
      <c r="K10" s="47"/>
      <c r="L10" s="76"/>
      <c r="M10" s="76"/>
      <c r="N10" s="78"/>
      <c r="O10" s="101" t="s">
        <v>64</v>
      </c>
      <c r="P10" s="15">
        <v>317.31900000000002</v>
      </c>
      <c r="Q10" s="15">
        <v>541.88300000000004</v>
      </c>
      <c r="R10" s="15">
        <v>678.76199999999994</v>
      </c>
      <c r="S10" s="15">
        <v>636.74099999999999</v>
      </c>
      <c r="T10" s="15">
        <v>0</v>
      </c>
      <c r="U10" s="15">
        <v>0</v>
      </c>
      <c r="V10" s="15">
        <v>0</v>
      </c>
      <c r="W10" s="15">
        <v>0</v>
      </c>
      <c r="X10" s="25">
        <v>0</v>
      </c>
      <c r="Y10" s="15">
        <v>0</v>
      </c>
      <c r="Z10" s="15">
        <v>0</v>
      </c>
      <c r="AA10" s="15"/>
    </row>
    <row r="11" spans="1:28" ht="15.75" thickBot="1" x14ac:dyDescent="0.3">
      <c r="A11" s="73" t="s">
        <v>10</v>
      </c>
      <c r="B11" s="16">
        <f>SUM(B12:B17)</f>
        <v>4469.5469999999996</v>
      </c>
      <c r="C11" s="16">
        <f>SUM(C12:C17)</f>
        <v>4219.4480000000003</v>
      </c>
      <c r="D11" s="16">
        <f t="shared" ref="D11" si="3">SUM(D12:D17)</f>
        <v>4348.5280000000002</v>
      </c>
      <c r="E11" s="16">
        <f t="shared" ref="E11:G11" si="4">SUM(E12:E17)</f>
        <v>5165.9380000000001</v>
      </c>
      <c r="F11" s="16">
        <f t="shared" si="4"/>
        <v>6033.5000000000009</v>
      </c>
      <c r="G11" s="16">
        <f t="shared" si="4"/>
        <v>6576.9</v>
      </c>
      <c r="H11" s="16">
        <f>SUM(H12:H17)</f>
        <v>7498.6</v>
      </c>
      <c r="I11" s="16">
        <f>SUM(I12:I17)</f>
        <v>6850.8969999999999</v>
      </c>
      <c r="J11" s="35"/>
      <c r="K11" s="35"/>
      <c r="L11" s="76"/>
      <c r="M11" s="76"/>
      <c r="N11" s="78"/>
      <c r="O11" s="86" t="s">
        <v>65</v>
      </c>
      <c r="P11" s="87">
        <v>858.25300000000004</v>
      </c>
      <c r="Q11" s="87">
        <v>824.23699999999997</v>
      </c>
      <c r="R11" s="87">
        <v>248.01300000000001</v>
      </c>
      <c r="S11" s="87">
        <v>5.7430000000000003</v>
      </c>
      <c r="T11" s="87">
        <v>0</v>
      </c>
      <c r="U11" s="87">
        <v>0</v>
      </c>
      <c r="V11" s="87">
        <v>0</v>
      </c>
      <c r="W11" s="87">
        <v>0</v>
      </c>
      <c r="X11" s="102">
        <v>0</v>
      </c>
      <c r="Y11" s="87">
        <v>0</v>
      </c>
      <c r="Z11" s="15">
        <v>0</v>
      </c>
      <c r="AA11" s="15"/>
    </row>
    <row r="12" spans="1:28" x14ac:dyDescent="0.25">
      <c r="A12" s="83" t="s">
        <v>11</v>
      </c>
      <c r="B12" s="15">
        <v>3423</v>
      </c>
      <c r="C12" s="15">
        <v>3143</v>
      </c>
      <c r="D12" s="15">
        <v>3263</v>
      </c>
      <c r="E12" s="75">
        <v>3859</v>
      </c>
      <c r="F12" s="75">
        <v>4412.3</v>
      </c>
      <c r="G12" s="75">
        <v>4755</v>
      </c>
      <c r="H12" s="75">
        <v>5486.9</v>
      </c>
      <c r="I12" s="75">
        <f>51449/10</f>
        <v>5144.8999999999996</v>
      </c>
      <c r="J12" s="76"/>
      <c r="K12" s="76"/>
      <c r="L12" s="76"/>
      <c r="M12" s="76"/>
      <c r="N12" s="78"/>
      <c r="O12" s="103" t="s">
        <v>66</v>
      </c>
      <c r="P12" s="104">
        <f>P10+P11</f>
        <v>1175.5720000000001</v>
      </c>
      <c r="Q12" s="104">
        <f>Q10+Q11</f>
        <v>1366.12</v>
      </c>
      <c r="R12" s="104">
        <f t="shared" ref="R12:S12" si="5">R10+R11</f>
        <v>926.77499999999998</v>
      </c>
      <c r="S12" s="104">
        <f t="shared" si="5"/>
        <v>642.48400000000004</v>
      </c>
      <c r="T12" s="104">
        <v>0</v>
      </c>
      <c r="U12" s="104">
        <v>0</v>
      </c>
      <c r="V12" s="104">
        <v>0</v>
      </c>
      <c r="W12" s="104">
        <f>W10+W11</f>
        <v>0</v>
      </c>
      <c r="X12" s="105">
        <f>X10+X11</f>
        <v>0</v>
      </c>
      <c r="Y12" s="105">
        <v>0</v>
      </c>
      <c r="Z12" s="15"/>
      <c r="AA12" s="83"/>
    </row>
    <row r="13" spans="1:28" x14ac:dyDescent="0.25">
      <c r="A13" s="83" t="s">
        <v>24</v>
      </c>
      <c r="B13" s="15">
        <v>0</v>
      </c>
      <c r="C13" s="15">
        <v>0</v>
      </c>
      <c r="D13" s="15">
        <v>0</v>
      </c>
      <c r="E13" s="75">
        <v>113</v>
      </c>
      <c r="F13" s="75">
        <v>164.6</v>
      </c>
      <c r="G13" s="75">
        <v>243.8</v>
      </c>
      <c r="H13" s="75">
        <v>292.8</v>
      </c>
      <c r="I13" s="75">
        <f>2260/10</f>
        <v>226</v>
      </c>
      <c r="J13" s="76"/>
      <c r="K13" s="76"/>
      <c r="L13" s="76"/>
      <c r="M13" s="76"/>
      <c r="N13" s="78"/>
      <c r="O13" s="106" t="s">
        <v>67</v>
      </c>
      <c r="P13" s="16">
        <f t="shared" ref="P13:S13" si="6">+P8+P9+P20+P21+P10</f>
        <v>3335.8420000000001</v>
      </c>
      <c r="Q13" s="16">
        <f t="shared" si="6"/>
        <v>3848.4470000000001</v>
      </c>
      <c r="R13" s="16">
        <f t="shared" si="6"/>
        <v>4139.7920000000004</v>
      </c>
      <c r="S13" s="16">
        <f t="shared" si="6"/>
        <v>4663.8350000000009</v>
      </c>
      <c r="T13" s="16">
        <f>+T8+T9+T20+T21+T10</f>
        <v>4065</v>
      </c>
      <c r="U13" s="16">
        <f t="shared" ref="U13:X13" si="7">U8+U22</f>
        <v>4344</v>
      </c>
      <c r="V13" s="16">
        <f t="shared" si="7"/>
        <v>4688.1000000000004</v>
      </c>
      <c r="W13" s="16">
        <f t="shared" si="7"/>
        <v>5326</v>
      </c>
      <c r="X13" s="107">
        <f t="shared" si="7"/>
        <v>5963.2</v>
      </c>
      <c r="Y13" s="107">
        <f>Y8+Y22</f>
        <v>6666.9</v>
      </c>
      <c r="Z13" s="107">
        <f>Z8+Z22</f>
        <v>7554.3</v>
      </c>
      <c r="AA13" s="107">
        <f>AA8+AA22</f>
        <v>8836.2896526516379</v>
      </c>
    </row>
    <row r="14" spans="1:28" x14ac:dyDescent="0.25">
      <c r="A14" s="108" t="s">
        <v>25</v>
      </c>
      <c r="B14" s="15">
        <v>-5</v>
      </c>
      <c r="C14" s="15">
        <v>3</v>
      </c>
      <c r="D14" s="15">
        <v>-13</v>
      </c>
      <c r="E14" s="15">
        <v>-18</v>
      </c>
      <c r="F14" s="83">
        <v>-32</v>
      </c>
      <c r="G14" s="15">
        <v>-3.5</v>
      </c>
      <c r="H14" s="75">
        <v>-42.8</v>
      </c>
      <c r="I14" s="75">
        <f>-712/10</f>
        <v>-71.2</v>
      </c>
      <c r="J14" s="76"/>
      <c r="K14" s="76"/>
      <c r="L14" s="76"/>
      <c r="M14" s="76"/>
      <c r="N14" s="78"/>
      <c r="O14" s="106" t="s">
        <v>67</v>
      </c>
      <c r="P14" s="16">
        <f t="shared" ref="P14:AA14" si="8">R62-P34-P11</f>
        <v>3871.9899999999993</v>
      </c>
      <c r="Q14" s="16">
        <f t="shared" si="8"/>
        <v>3557.5269999999991</v>
      </c>
      <c r="R14" s="16">
        <f t="shared" si="8"/>
        <v>1139.5180000000005</v>
      </c>
      <c r="S14" s="16">
        <f t="shared" si="8"/>
        <v>1833.5879999999997</v>
      </c>
      <c r="T14" s="16">
        <f t="shared" si="8"/>
        <v>4592</v>
      </c>
      <c r="U14" s="16">
        <f t="shared" si="8"/>
        <v>4753.3</v>
      </c>
      <c r="V14" s="16">
        <f t="shared" si="8"/>
        <v>4902</v>
      </c>
      <c r="W14" s="16">
        <f t="shared" si="8"/>
        <v>5537.9</v>
      </c>
      <c r="X14" s="107">
        <f t="shared" si="8"/>
        <v>6080.3000000000011</v>
      </c>
      <c r="Y14" s="107">
        <f t="shared" si="8"/>
        <v>6863.7380917500013</v>
      </c>
      <c r="Z14" s="107">
        <f t="shared" si="8"/>
        <v>5980.7999999999993</v>
      </c>
      <c r="AA14" s="107">
        <f t="shared" si="8"/>
        <v>7091.5326007189778</v>
      </c>
    </row>
    <row r="15" spans="1:28" x14ac:dyDescent="0.25">
      <c r="A15" s="83" t="s">
        <v>192</v>
      </c>
      <c r="B15" s="15">
        <v>575</v>
      </c>
      <c r="C15" s="15">
        <v>604</v>
      </c>
      <c r="D15" s="15">
        <v>661</v>
      </c>
      <c r="E15" s="15">
        <v>679</v>
      </c>
      <c r="F15" s="75">
        <v>797.1</v>
      </c>
      <c r="G15" s="75">
        <v>879.7</v>
      </c>
      <c r="H15" s="75">
        <v>985.3</v>
      </c>
      <c r="I15" s="75">
        <f>8836/10</f>
        <v>883.6</v>
      </c>
      <c r="J15" s="76"/>
      <c r="K15" s="76"/>
      <c r="L15" s="76"/>
      <c r="M15" s="76"/>
      <c r="N15" s="78"/>
      <c r="O15" s="106"/>
      <c r="P15" s="109"/>
      <c r="Q15" s="109"/>
      <c r="R15" s="109"/>
      <c r="S15" s="109"/>
      <c r="T15" s="109"/>
      <c r="U15" s="109"/>
      <c r="V15" s="109"/>
      <c r="W15" s="109"/>
      <c r="X15" s="110"/>
      <c r="Y15" s="83"/>
      <c r="Z15" s="15"/>
      <c r="AA15" s="83"/>
    </row>
    <row r="16" spans="1:28" x14ac:dyDescent="0.25">
      <c r="A16" s="83" t="s">
        <v>12</v>
      </c>
      <c r="B16" s="15">
        <v>262</v>
      </c>
      <c r="C16" s="15">
        <v>229</v>
      </c>
      <c r="D16" s="15">
        <v>216</v>
      </c>
      <c r="E16" s="75">
        <v>256</v>
      </c>
      <c r="F16" s="75">
        <v>402.7</v>
      </c>
      <c r="G16" s="75">
        <v>411.9</v>
      </c>
      <c r="H16" s="75">
        <f>433.8</f>
        <v>433.8</v>
      </c>
      <c r="I16" s="75">
        <f>3832/10</f>
        <v>383.2</v>
      </c>
      <c r="J16" s="76"/>
      <c r="K16" s="76"/>
      <c r="L16" s="76"/>
      <c r="M16" s="76"/>
      <c r="N16" s="78"/>
      <c r="O16" s="106" t="s">
        <v>33</v>
      </c>
      <c r="P16" s="73"/>
      <c r="Q16" s="83"/>
      <c r="R16" s="83"/>
      <c r="S16" s="83"/>
      <c r="T16" s="111"/>
      <c r="U16" s="111"/>
      <c r="V16" s="112"/>
      <c r="W16" s="112"/>
      <c r="X16" s="113"/>
      <c r="Y16" s="83"/>
      <c r="Z16" s="15"/>
      <c r="AA16" s="83"/>
    </row>
    <row r="17" spans="1:28" x14ac:dyDescent="0.25">
      <c r="A17" s="83" t="s">
        <v>191</v>
      </c>
      <c r="B17" s="15">
        <f>226-B71-B75</f>
        <v>214.547</v>
      </c>
      <c r="C17" s="15">
        <f>243-C71-C75</f>
        <v>240.44799999999998</v>
      </c>
      <c r="D17" s="15">
        <f>232-D71-D75</f>
        <v>221.52799999999999</v>
      </c>
      <c r="E17" s="75">
        <f>278-E71-E75</f>
        <v>276.93799999999999</v>
      </c>
      <c r="F17" s="75">
        <v>288.8</v>
      </c>
      <c r="G17" s="75">
        <v>290</v>
      </c>
      <c r="H17" s="84">
        <f>354.6-I71-I75+2</f>
        <v>342.6</v>
      </c>
      <c r="I17" s="84">
        <f>3075/10-M71</f>
        <v>284.39699999999999</v>
      </c>
      <c r="J17" s="85"/>
      <c r="K17" s="76"/>
      <c r="L17" s="76"/>
      <c r="M17" s="76"/>
      <c r="N17" s="78"/>
      <c r="O17" s="101" t="s">
        <v>34</v>
      </c>
      <c r="P17" s="83"/>
      <c r="Q17" s="83"/>
      <c r="R17" s="83"/>
      <c r="S17" s="83"/>
      <c r="T17" s="111"/>
      <c r="U17" s="111"/>
      <c r="V17" s="112"/>
      <c r="W17" s="112"/>
      <c r="X17" s="113"/>
      <c r="Y17" s="83"/>
      <c r="Z17" s="15"/>
      <c r="AA17" s="83"/>
    </row>
    <row r="18" spans="1:28" x14ac:dyDescent="0.25">
      <c r="A18" s="73" t="s">
        <v>211</v>
      </c>
      <c r="B18" s="16">
        <f t="shared" ref="B18:F18" si="9">B6-B11</f>
        <v>782.45300000000043</v>
      </c>
      <c r="C18" s="16">
        <f t="shared" si="9"/>
        <v>568.55199999999968</v>
      </c>
      <c r="D18" s="16">
        <f t="shared" si="9"/>
        <v>463.47199999999975</v>
      </c>
      <c r="E18" s="16">
        <f t="shared" si="9"/>
        <v>497.0619999999999</v>
      </c>
      <c r="F18" s="16">
        <f t="shared" si="9"/>
        <v>528.99999999999909</v>
      </c>
      <c r="G18" s="16">
        <f t="shared" ref="G18" si="10">G6-G11</f>
        <v>663.90000000000055</v>
      </c>
      <c r="H18" s="75">
        <f>H6-H11</f>
        <v>949.69999999999891</v>
      </c>
      <c r="I18" s="75">
        <f>I6-I11</f>
        <v>839.30299999999988</v>
      </c>
      <c r="J18" s="76"/>
      <c r="K18" s="76"/>
      <c r="L18" s="76"/>
      <c r="M18" s="77"/>
      <c r="N18" s="78"/>
      <c r="O18" s="101" t="s">
        <v>35</v>
      </c>
      <c r="P18" s="83"/>
      <c r="Q18" s="83"/>
      <c r="R18" s="83"/>
      <c r="S18" s="83"/>
      <c r="T18" s="111"/>
      <c r="U18" s="111"/>
      <c r="V18" s="112"/>
      <c r="W18" s="112"/>
      <c r="X18" s="113"/>
      <c r="Y18" s="83"/>
      <c r="Z18" s="15"/>
      <c r="AA18" s="83"/>
    </row>
    <row r="19" spans="1:28" x14ac:dyDescent="0.25">
      <c r="A19" s="97" t="s">
        <v>8</v>
      </c>
      <c r="B19" s="98"/>
      <c r="C19" s="98">
        <f>(+C18/B18-1)*-1</f>
        <v>0.27337233035083341</v>
      </c>
      <c r="D19" s="98">
        <f t="shared" ref="D19" si="11">+D18/C18-1</f>
        <v>-0.18482038582222904</v>
      </c>
      <c r="E19" s="98">
        <f>+E18/D18-1</f>
        <v>7.2474712603997959E-2</v>
      </c>
      <c r="F19" s="98">
        <f>+F18/E18-1</f>
        <v>6.4253553882612557E-2</v>
      </c>
      <c r="G19" s="98">
        <f>G18/F18-1</f>
        <v>0.25500945179584433</v>
      </c>
      <c r="H19" s="98">
        <f>H18/G18-1</f>
        <v>0.43048651905407165</v>
      </c>
      <c r="I19" s="98"/>
      <c r="J19" s="54" t="s">
        <v>254</v>
      </c>
      <c r="K19" s="47"/>
      <c r="L19" s="76"/>
      <c r="M19" s="76"/>
      <c r="N19" s="78"/>
      <c r="O19" s="101" t="s">
        <v>180</v>
      </c>
      <c r="P19" s="83"/>
      <c r="Q19" s="83"/>
      <c r="R19" s="83"/>
      <c r="S19" s="83"/>
      <c r="T19" s="111">
        <v>0</v>
      </c>
      <c r="U19" s="83">
        <v>41</v>
      </c>
      <c r="V19" s="112">
        <v>35.1</v>
      </c>
      <c r="W19" s="112">
        <v>33</v>
      </c>
      <c r="X19" s="113">
        <v>29.4</v>
      </c>
      <c r="Y19" s="112">
        <v>21.2</v>
      </c>
      <c r="Z19" s="15">
        <v>12.7</v>
      </c>
      <c r="AA19" s="114">
        <v>11.34410974562037</v>
      </c>
    </row>
    <row r="20" spans="1:28" x14ac:dyDescent="0.25">
      <c r="A20" s="97" t="s">
        <v>9</v>
      </c>
      <c r="B20" s="98"/>
      <c r="C20" s="98"/>
      <c r="D20" s="98"/>
      <c r="E20" s="98">
        <f>(((E18/B18)^(1/3)-1))*-1</f>
        <v>0.14035837924184502</v>
      </c>
      <c r="F20" s="98">
        <f>+((F18/C18)^(1/3)-1)</f>
        <v>-2.3748246797272832E-2</v>
      </c>
      <c r="G20" s="98">
        <f>+((G18/D18)^(1/3)-1)</f>
        <v>0.12726594976519978</v>
      </c>
      <c r="H20" s="98">
        <f>+((H18/G18)^(1/3)-1)</f>
        <v>0.12675092459562842</v>
      </c>
      <c r="I20" s="98"/>
      <c r="J20" s="54" t="s">
        <v>254</v>
      </c>
      <c r="K20" s="47"/>
      <c r="L20" s="76"/>
      <c r="M20" s="76"/>
      <c r="N20" s="78"/>
      <c r="O20" s="101" t="s">
        <v>36</v>
      </c>
      <c r="P20" s="15">
        <v>12.811</v>
      </c>
      <c r="Q20" s="15">
        <v>70.573999999999998</v>
      </c>
      <c r="R20" s="15">
        <v>76.641000000000005</v>
      </c>
      <c r="S20" s="15">
        <v>115.13</v>
      </c>
      <c r="T20" s="83">
        <v>35</v>
      </c>
      <c r="U20" s="83">
        <v>38</v>
      </c>
      <c r="V20" s="83">
        <v>25</v>
      </c>
      <c r="W20" s="15">
        <v>26</v>
      </c>
      <c r="X20" s="25">
        <v>32.1</v>
      </c>
      <c r="Y20" s="112">
        <v>36.299999999999997</v>
      </c>
      <c r="Z20" s="115">
        <v>38.6</v>
      </c>
      <c r="AA20" s="83">
        <v>52.5</v>
      </c>
    </row>
    <row r="21" spans="1:28" x14ac:dyDescent="0.25">
      <c r="A21" s="73" t="s">
        <v>14</v>
      </c>
      <c r="B21" s="116">
        <f>B18/B6</f>
        <v>0.1489819116527038</v>
      </c>
      <c r="C21" s="116">
        <f t="shared" ref="C21:F21" si="12">C18/C6</f>
        <v>0.11874519632414363</v>
      </c>
      <c r="D21" s="116">
        <f t="shared" si="12"/>
        <v>9.6315876974231038E-2</v>
      </c>
      <c r="E21" s="116">
        <f t="shared" si="12"/>
        <v>8.7773618223556407E-2</v>
      </c>
      <c r="F21" s="116">
        <f t="shared" si="12"/>
        <v>8.0609523809523673E-2</v>
      </c>
      <c r="G21" s="116">
        <f t="shared" ref="G21:H21" si="13">G18/G6</f>
        <v>9.1688763672522447E-2</v>
      </c>
      <c r="H21" s="117">
        <f t="shared" si="13"/>
        <v>0.11241314820733153</v>
      </c>
      <c r="I21" s="117">
        <f>I18/I6</f>
        <v>0.10913929416660163</v>
      </c>
      <c r="J21" s="36"/>
      <c r="K21" s="36"/>
      <c r="L21" s="36"/>
      <c r="M21" s="77"/>
      <c r="N21" s="78"/>
      <c r="O21" s="101" t="s">
        <v>37</v>
      </c>
      <c r="P21" s="15">
        <v>86.31</v>
      </c>
      <c r="Q21" s="15">
        <v>41.518999999999998</v>
      </c>
      <c r="R21" s="15">
        <v>41.487000000000002</v>
      </c>
      <c r="S21" s="15">
        <v>87.424000000000007</v>
      </c>
      <c r="T21" s="83">
        <v>26</v>
      </c>
      <c r="U21" s="83">
        <v>67</v>
      </c>
      <c r="V21" s="75">
        <v>118</v>
      </c>
      <c r="W21" s="15">
        <v>215</v>
      </c>
      <c r="X21" s="25">
        <v>298.5</v>
      </c>
      <c r="Y21" s="112">
        <v>376.9</v>
      </c>
      <c r="Z21" s="15">
        <v>391.2</v>
      </c>
      <c r="AA21" s="15">
        <v>504.25257390601757</v>
      </c>
    </row>
    <row r="22" spans="1:28" x14ac:dyDescent="0.25">
      <c r="A22" s="83" t="s">
        <v>15</v>
      </c>
      <c r="B22" s="15">
        <v>77</v>
      </c>
      <c r="C22" s="15">
        <v>94</v>
      </c>
      <c r="D22" s="15">
        <v>103</v>
      </c>
      <c r="E22" s="75">
        <v>129</v>
      </c>
      <c r="F22" s="75">
        <v>146.19999999999999</v>
      </c>
      <c r="G22" s="75">
        <v>150.9</v>
      </c>
      <c r="H22" s="15">
        <v>205.6</v>
      </c>
      <c r="I22" s="15">
        <f>1296/10</f>
        <v>129.6</v>
      </c>
      <c r="J22" s="26"/>
      <c r="K22" s="76"/>
      <c r="L22" s="76"/>
      <c r="M22" s="76"/>
      <c r="O22" s="106" t="s">
        <v>38</v>
      </c>
      <c r="P22" s="16">
        <f>SUM(P18:P21)</f>
        <v>99.121000000000009</v>
      </c>
      <c r="Q22" s="16">
        <f>SUM(Q18:Q21)</f>
        <v>112.09299999999999</v>
      </c>
      <c r="R22" s="16">
        <f t="shared" ref="R22:S22" si="14">SUM(R18:R21)</f>
        <v>118.12800000000001</v>
      </c>
      <c r="S22" s="16">
        <f t="shared" si="14"/>
        <v>202.554</v>
      </c>
      <c r="T22" s="16">
        <f>SUM(T19:T21)</f>
        <v>61</v>
      </c>
      <c r="U22" s="16">
        <f>SUM(U19:U21)</f>
        <v>146</v>
      </c>
      <c r="V22" s="16">
        <f>V19+V20+V21</f>
        <v>178.1</v>
      </c>
      <c r="W22" s="16">
        <f>SUM(W18:W21)</f>
        <v>274</v>
      </c>
      <c r="X22" s="107">
        <f>SUM(X18:X21)</f>
        <v>360</v>
      </c>
      <c r="Y22" s="107">
        <f>SUM(Y18:Y21)</f>
        <v>434.4</v>
      </c>
      <c r="Z22" s="107">
        <f>SUM(Z18:Z21)</f>
        <v>442.5</v>
      </c>
      <c r="AA22" s="107">
        <f>SUM(AA18:AA21)</f>
        <v>568.09668365163793</v>
      </c>
    </row>
    <row r="23" spans="1:28" x14ac:dyDescent="0.25">
      <c r="A23" s="83" t="s">
        <v>26</v>
      </c>
      <c r="B23" s="15">
        <v>1</v>
      </c>
      <c r="C23" s="15">
        <v>6</v>
      </c>
      <c r="D23" s="15">
        <v>6</v>
      </c>
      <c r="E23" s="83">
        <v>5</v>
      </c>
      <c r="F23" s="112">
        <v>4.2</v>
      </c>
      <c r="G23" s="83">
        <v>3.9</v>
      </c>
      <c r="H23" s="15">
        <v>3.9</v>
      </c>
      <c r="I23" s="15">
        <f>24/10</f>
        <v>2.4</v>
      </c>
      <c r="J23" s="26"/>
      <c r="K23" s="76"/>
      <c r="L23" s="76"/>
      <c r="M23" s="76"/>
      <c r="O23" s="106" t="s">
        <v>39</v>
      </c>
      <c r="P23" s="73"/>
      <c r="Q23" s="83"/>
      <c r="R23" s="83"/>
      <c r="S23" s="83"/>
      <c r="T23" s="111"/>
      <c r="U23" s="111"/>
      <c r="V23" s="112"/>
      <c r="W23" s="112"/>
      <c r="X23" s="113"/>
      <c r="Y23" s="83"/>
      <c r="Z23" s="15"/>
      <c r="AA23" s="83"/>
    </row>
    <row r="24" spans="1:28" x14ac:dyDescent="0.25">
      <c r="A24" s="73" t="s">
        <v>17</v>
      </c>
      <c r="B24" s="16">
        <f>B18-B22-B23+B7</f>
        <v>840.00000000000045</v>
      </c>
      <c r="C24" s="74">
        <f>C18-C22-C23+C7</f>
        <v>728.99999999999977</v>
      </c>
      <c r="D24" s="74">
        <f>D18-D22-D23+D7</f>
        <v>505.99999999999977</v>
      </c>
      <c r="E24" s="74">
        <f>E18-E22-E23+E7</f>
        <v>614.99999999999989</v>
      </c>
      <c r="F24" s="74">
        <f>F18-F22-F23+F7</f>
        <v>604.19999999999914</v>
      </c>
      <c r="G24" s="74">
        <f t="shared" ref="G24" si="15">G18-G22-G23+G7</f>
        <v>757.80000000000064</v>
      </c>
      <c r="H24" s="15">
        <f>H18-H22-H23+H7</f>
        <v>1027.2999999999988</v>
      </c>
      <c r="I24" s="15">
        <f>I18-I22-I23+I7</f>
        <v>958.3</v>
      </c>
      <c r="J24" s="26"/>
      <c r="K24" s="26"/>
      <c r="L24" s="76"/>
      <c r="M24" s="77"/>
      <c r="N24" s="78"/>
      <c r="O24" s="101" t="s">
        <v>40</v>
      </c>
      <c r="P24" s="83"/>
      <c r="Q24" s="83"/>
      <c r="R24" s="83"/>
      <c r="S24" s="83"/>
      <c r="T24" s="111"/>
      <c r="U24" s="111"/>
      <c r="V24" s="112"/>
      <c r="W24" s="83"/>
      <c r="X24" s="118"/>
      <c r="Y24" s="83"/>
      <c r="Z24" s="15"/>
      <c r="AA24" s="83"/>
    </row>
    <row r="25" spans="1:28" x14ac:dyDescent="0.25">
      <c r="A25" t="s">
        <v>193</v>
      </c>
      <c r="B25" s="15">
        <v>10</v>
      </c>
      <c r="C25" s="15">
        <v>17</v>
      </c>
      <c r="D25" s="15">
        <v>0</v>
      </c>
      <c r="E25" s="83"/>
      <c r="F25" s="75"/>
      <c r="G25" s="75"/>
      <c r="H25" s="75"/>
      <c r="I25" s="75"/>
      <c r="J25" s="76"/>
      <c r="K25" s="76"/>
      <c r="L25" s="76"/>
      <c r="M25" s="76"/>
      <c r="O25" s="101" t="s">
        <v>35</v>
      </c>
      <c r="P25" s="83"/>
      <c r="Q25" s="83"/>
      <c r="R25" s="83"/>
      <c r="S25" s="83"/>
      <c r="T25" s="111"/>
      <c r="U25" s="111"/>
      <c r="V25" s="112"/>
      <c r="W25" s="112" t="s">
        <v>183</v>
      </c>
      <c r="X25" s="113" t="s">
        <v>184</v>
      </c>
      <c r="Y25" s="83"/>
      <c r="Z25" s="15"/>
      <c r="AA25" s="83"/>
    </row>
    <row r="26" spans="1:28" x14ac:dyDescent="0.25">
      <c r="A26" s="73" t="s">
        <v>29</v>
      </c>
      <c r="B26" s="16">
        <f t="shared" ref="B26:D26" si="16">SUM(B27:B30)</f>
        <v>245</v>
      </c>
      <c r="C26" s="16">
        <f t="shared" si="16"/>
        <v>169</v>
      </c>
      <c r="D26" s="16">
        <f t="shared" si="16"/>
        <v>110</v>
      </c>
      <c r="E26" s="16">
        <f>SUM(E27:E30)</f>
        <v>112</v>
      </c>
      <c r="F26" s="16">
        <f>SUM(F27:F30)</f>
        <v>121.89999999999999</v>
      </c>
      <c r="G26" s="16">
        <f t="shared" ref="G26:H26" si="17">G27+G30</f>
        <v>164.79999999999998</v>
      </c>
      <c r="H26" s="16">
        <f t="shared" si="17"/>
        <v>206.5</v>
      </c>
      <c r="I26" s="16">
        <f>I27+I30</f>
        <v>244.9</v>
      </c>
      <c r="J26" s="35"/>
      <c r="K26" s="35"/>
      <c r="L26" s="76"/>
      <c r="M26" s="76"/>
      <c r="O26" s="101" t="s">
        <v>41</v>
      </c>
      <c r="P26" s="15">
        <v>1168.681</v>
      </c>
      <c r="Q26" s="15">
        <v>1129.114</v>
      </c>
      <c r="R26" s="15">
        <v>1473.941</v>
      </c>
      <c r="S26" s="15">
        <v>2359.0329999999999</v>
      </c>
      <c r="T26" s="15">
        <f>206+546</f>
        <v>752</v>
      </c>
      <c r="U26" s="15">
        <f>177+584</f>
        <v>761</v>
      </c>
      <c r="V26" s="15">
        <f>226+694</f>
        <v>920</v>
      </c>
      <c r="W26" s="15">
        <f>257+644</f>
        <v>901</v>
      </c>
      <c r="X26" s="25">
        <f>292.3+662.8</f>
        <v>955.09999999999991</v>
      </c>
      <c r="Y26" s="112">
        <f>433.3+948.8</f>
        <v>1382.1</v>
      </c>
      <c r="Z26" s="15">
        <v>1401.7</v>
      </c>
      <c r="AA26" s="119">
        <v>1594.2</v>
      </c>
      <c r="AB26" s="120"/>
    </row>
    <row r="27" spans="1:28" x14ac:dyDescent="0.25">
      <c r="A27" s="83" t="s">
        <v>27</v>
      </c>
      <c r="B27" s="15">
        <v>222</v>
      </c>
      <c r="C27" s="15">
        <v>173</v>
      </c>
      <c r="D27" s="15">
        <v>103</v>
      </c>
      <c r="E27" s="83">
        <v>58</v>
      </c>
      <c r="F27" s="75">
        <v>115.6</v>
      </c>
      <c r="G27" s="75">
        <v>164.2</v>
      </c>
      <c r="H27" s="75">
        <v>198.9</v>
      </c>
      <c r="I27" s="75">
        <f>2053/10</f>
        <v>205.3</v>
      </c>
      <c r="J27" s="76"/>
      <c r="K27" s="76"/>
      <c r="L27" s="34"/>
      <c r="M27" s="76"/>
      <c r="O27" s="101" t="s">
        <v>42</v>
      </c>
      <c r="P27" s="15">
        <v>617.91700000000003</v>
      </c>
      <c r="Q27" s="15">
        <v>534.01900000000001</v>
      </c>
      <c r="R27" s="15">
        <v>687.08</v>
      </c>
      <c r="S27" s="15">
        <v>838.90700000000004</v>
      </c>
      <c r="T27" s="121">
        <v>109</v>
      </c>
      <c r="U27" s="83">
        <v>37</v>
      </c>
      <c r="V27" s="121">
        <v>172</v>
      </c>
      <c r="W27" s="15">
        <v>28</v>
      </c>
      <c r="X27" s="25">
        <v>26.6</v>
      </c>
      <c r="Y27" s="112">
        <v>35.799999999999997</v>
      </c>
      <c r="Z27" s="15">
        <v>284.3</v>
      </c>
      <c r="AA27" s="15">
        <v>338.5</v>
      </c>
      <c r="AB27" s="120"/>
    </row>
    <row r="28" spans="1:28" x14ac:dyDescent="0.25">
      <c r="A28" t="s">
        <v>195</v>
      </c>
      <c r="B28" s="15"/>
      <c r="C28" s="15">
        <v>0</v>
      </c>
      <c r="D28" s="15">
        <v>-39</v>
      </c>
      <c r="E28" s="83"/>
      <c r="F28" s="75"/>
      <c r="G28" s="75"/>
      <c r="H28" s="75"/>
      <c r="I28" s="75"/>
      <c r="J28" s="76"/>
      <c r="K28" s="76"/>
      <c r="L28" s="76"/>
      <c r="M28" s="76"/>
      <c r="O28" s="101"/>
      <c r="P28" s="15"/>
      <c r="Q28" s="15"/>
      <c r="R28" s="15"/>
      <c r="S28" s="15"/>
      <c r="T28" s="121"/>
      <c r="U28" s="83"/>
      <c r="V28" s="121"/>
      <c r="W28" s="15"/>
      <c r="X28" s="25"/>
      <c r="Y28" s="112"/>
      <c r="Z28" s="15"/>
      <c r="AA28" s="83"/>
      <c r="AB28" s="120"/>
    </row>
    <row r="29" spans="1:28" x14ac:dyDescent="0.25">
      <c r="A29" t="s">
        <v>196</v>
      </c>
      <c r="B29" s="15"/>
      <c r="C29" s="15">
        <v>0</v>
      </c>
      <c r="D29" s="15">
        <v>39</v>
      </c>
      <c r="E29" s="83"/>
      <c r="F29" s="75"/>
      <c r="G29" s="75"/>
      <c r="H29" s="75"/>
      <c r="I29" s="75"/>
      <c r="J29" s="76"/>
      <c r="K29" s="76"/>
      <c r="L29" s="76"/>
      <c r="M29" s="76"/>
      <c r="O29" s="101"/>
      <c r="P29" s="15"/>
      <c r="Q29" s="15"/>
      <c r="R29" s="15"/>
      <c r="S29" s="15"/>
      <c r="T29" s="121"/>
      <c r="U29" s="83"/>
      <c r="V29" s="121"/>
      <c r="W29" s="15"/>
      <c r="X29" s="25"/>
      <c r="Y29" s="112"/>
      <c r="Z29" s="15"/>
      <c r="AA29" s="83"/>
      <c r="AB29" s="120"/>
    </row>
    <row r="30" spans="1:28" x14ac:dyDescent="0.25">
      <c r="A30" s="83" t="s">
        <v>28</v>
      </c>
      <c r="B30" s="15">
        <v>23</v>
      </c>
      <c r="C30" s="15">
        <v>-4</v>
      </c>
      <c r="D30" s="15">
        <v>7</v>
      </c>
      <c r="E30" s="83">
        <v>54</v>
      </c>
      <c r="F30" s="83">
        <v>6.3</v>
      </c>
      <c r="G30" s="15">
        <v>0.6</v>
      </c>
      <c r="H30" s="75">
        <v>7.6</v>
      </c>
      <c r="I30" s="75">
        <f>396/10</f>
        <v>39.6</v>
      </c>
      <c r="J30" s="76"/>
      <c r="K30" s="76"/>
      <c r="L30" s="34"/>
      <c r="M30" s="76"/>
      <c r="O30" s="101" t="s">
        <v>181</v>
      </c>
      <c r="P30" s="15"/>
      <c r="Q30" s="15"/>
      <c r="R30" s="15"/>
      <c r="S30" s="15"/>
      <c r="T30" s="15">
        <v>0</v>
      </c>
      <c r="U30" s="15">
        <v>10</v>
      </c>
      <c r="V30" s="15">
        <v>11</v>
      </c>
      <c r="W30" s="15">
        <v>6</v>
      </c>
      <c r="X30" s="25">
        <v>7.1</v>
      </c>
      <c r="Y30" s="112">
        <v>8.1999999999999993</v>
      </c>
      <c r="Z30" s="15">
        <v>8.4</v>
      </c>
      <c r="AA30" s="15">
        <v>10.080815054379629</v>
      </c>
      <c r="AB30" s="120"/>
    </row>
    <row r="31" spans="1:28" x14ac:dyDescent="0.25">
      <c r="A31" s="97" t="s">
        <v>18</v>
      </c>
      <c r="B31" s="122"/>
      <c r="C31" s="122">
        <f t="shared" ref="C31:D31" si="18">C26/C24</f>
        <v>0.23182441700960227</v>
      </c>
      <c r="D31" s="122">
        <f t="shared" si="18"/>
        <v>0.21739130434782619</v>
      </c>
      <c r="E31" s="122">
        <f t="shared" ref="E31:H31" si="19">E26/E24</f>
        <v>0.18211382113821142</v>
      </c>
      <c r="F31" s="122">
        <f t="shared" si="19"/>
        <v>0.20175438596491255</v>
      </c>
      <c r="G31" s="122">
        <f t="shared" si="19"/>
        <v>0.217471628397994</v>
      </c>
      <c r="H31" s="122">
        <f t="shared" si="19"/>
        <v>0.20101236250365057</v>
      </c>
      <c r="I31" s="122">
        <f>I26/I24</f>
        <v>0.2555567150161745</v>
      </c>
      <c r="J31" s="37"/>
      <c r="K31" s="37"/>
      <c r="L31" s="37"/>
      <c r="M31" s="37"/>
      <c r="O31" s="101" t="s">
        <v>43</v>
      </c>
      <c r="P31" s="15">
        <v>39.911999999999999</v>
      </c>
      <c r="Q31" s="15">
        <v>134.035</v>
      </c>
      <c r="R31" s="15">
        <v>191.47200000000001</v>
      </c>
      <c r="S31" s="15">
        <v>239.31299999999999</v>
      </c>
      <c r="T31" s="75">
        <v>145</v>
      </c>
      <c r="U31" s="75">
        <v>120</v>
      </c>
      <c r="V31" s="75">
        <v>130</v>
      </c>
      <c r="W31" s="75">
        <v>142</v>
      </c>
      <c r="X31" s="92">
        <v>216.9</v>
      </c>
      <c r="Y31" s="25">
        <v>257.5</v>
      </c>
      <c r="Z31" s="15">
        <v>122.5</v>
      </c>
      <c r="AA31" s="75">
        <v>44.5</v>
      </c>
      <c r="AB31" s="120"/>
    </row>
    <row r="32" spans="1:28" x14ac:dyDescent="0.25">
      <c r="A32" s="73" t="s">
        <v>19</v>
      </c>
      <c r="B32" s="16">
        <f t="shared" ref="B32:D32" si="20">B24-B25-B26</f>
        <v>585.00000000000045</v>
      </c>
      <c r="C32" s="16">
        <f t="shared" si="20"/>
        <v>542.99999999999977</v>
      </c>
      <c r="D32" s="16">
        <f t="shared" si="20"/>
        <v>395.99999999999977</v>
      </c>
      <c r="E32" s="16">
        <f t="shared" ref="E32:I32" si="21">E24-E25-E26</f>
        <v>502.99999999999989</v>
      </c>
      <c r="F32" s="16">
        <f t="shared" si="21"/>
        <v>482.29999999999916</v>
      </c>
      <c r="G32" s="16">
        <f t="shared" si="21"/>
        <v>593.00000000000068</v>
      </c>
      <c r="H32" s="16">
        <f t="shared" si="21"/>
        <v>820.79999999999882</v>
      </c>
      <c r="I32" s="16">
        <f t="shared" si="21"/>
        <v>713.4</v>
      </c>
      <c r="J32" s="35"/>
      <c r="K32" s="35"/>
      <c r="L32" s="76"/>
      <c r="M32" s="77"/>
      <c r="N32" s="78"/>
      <c r="O32" s="101" t="s">
        <v>44</v>
      </c>
      <c r="P32" s="15">
        <v>73.281000000000006</v>
      </c>
      <c r="Q32" s="15">
        <v>12.839</v>
      </c>
      <c r="R32" s="15">
        <v>13.836</v>
      </c>
      <c r="S32" s="15">
        <v>22.213999999999999</v>
      </c>
      <c r="T32" s="83">
        <v>9</v>
      </c>
      <c r="U32" s="83">
        <v>7</v>
      </c>
      <c r="V32" s="83">
        <v>10</v>
      </c>
      <c r="W32" s="15">
        <v>9</v>
      </c>
      <c r="X32" s="25">
        <v>8.5</v>
      </c>
      <c r="Y32" s="112">
        <v>19.8</v>
      </c>
      <c r="Z32" s="15">
        <v>17.600000000000001</v>
      </c>
      <c r="AA32" s="75">
        <v>26.7</v>
      </c>
      <c r="AB32" s="120"/>
    </row>
    <row r="33" spans="1:42" x14ac:dyDescent="0.25">
      <c r="A33" s="73" t="s">
        <v>20</v>
      </c>
      <c r="B33" s="123">
        <f t="shared" ref="B33:D33" si="22">B32/B6</f>
        <v>0.11138613861386147</v>
      </c>
      <c r="C33" s="123">
        <f t="shared" si="22"/>
        <v>0.1134085213032581</v>
      </c>
      <c r="D33" s="123">
        <f t="shared" si="22"/>
        <v>8.2294264339152073E-2</v>
      </c>
      <c r="E33" s="123">
        <f t="shared" ref="E33:H33" si="23">E32/E6</f>
        <v>8.882217905703689E-2</v>
      </c>
      <c r="F33" s="123">
        <f t="shared" si="23"/>
        <v>7.3493333333333202E-2</v>
      </c>
      <c r="G33" s="123">
        <f t="shared" si="23"/>
        <v>8.1897027952712503E-2</v>
      </c>
      <c r="H33" s="117">
        <f t="shared" si="23"/>
        <v>9.7155640779801725E-2</v>
      </c>
      <c r="I33" s="117">
        <f>I32/I6</f>
        <v>9.2767418272606691E-2</v>
      </c>
      <c r="J33" s="36"/>
      <c r="K33" s="36"/>
      <c r="L33" s="36"/>
      <c r="M33" s="36"/>
      <c r="O33" s="101" t="s">
        <v>45</v>
      </c>
      <c r="P33" s="15"/>
      <c r="Q33" s="15">
        <v>0.24299999999999999</v>
      </c>
      <c r="R33" s="15">
        <v>12.641999999999999</v>
      </c>
      <c r="S33" s="15">
        <v>38.790999999999997</v>
      </c>
      <c r="T33" s="121">
        <v>17</v>
      </c>
      <c r="U33" s="83">
        <v>16</v>
      </c>
      <c r="V33" s="15">
        <v>0</v>
      </c>
      <c r="W33" s="15"/>
      <c r="X33" s="25">
        <v>0</v>
      </c>
      <c r="Y33" s="83"/>
      <c r="Z33" s="15"/>
      <c r="AA33" s="15">
        <v>6.1</v>
      </c>
      <c r="AB33" s="120"/>
    </row>
    <row r="34" spans="1:42" ht="15.75" thickBot="1" x14ac:dyDescent="0.3">
      <c r="A34" s="83" t="s">
        <v>21</v>
      </c>
      <c r="B34" s="15">
        <v>169</v>
      </c>
      <c r="C34" s="15">
        <f>-49</f>
        <v>-49</v>
      </c>
      <c r="D34" s="15">
        <v>39</v>
      </c>
      <c r="E34" s="75">
        <v>172</v>
      </c>
      <c r="F34" s="75">
        <f>375.2-77.3</f>
        <v>297.89999999999998</v>
      </c>
      <c r="G34" s="75">
        <f>337.7-77.8</f>
        <v>259.89999999999998</v>
      </c>
      <c r="H34" s="75">
        <v>338.7</v>
      </c>
      <c r="I34" s="75">
        <f>4450/10</f>
        <v>445</v>
      </c>
      <c r="J34" s="76"/>
      <c r="K34" s="76"/>
      <c r="L34" s="76"/>
      <c r="M34" s="76"/>
      <c r="O34" s="124" t="s">
        <v>46</v>
      </c>
      <c r="P34" s="125">
        <f t="shared" ref="P34:S34" si="24">SUM(P25:P33)</f>
        <v>1899.7909999999999</v>
      </c>
      <c r="Q34" s="125">
        <f t="shared" si="24"/>
        <v>1810.25</v>
      </c>
      <c r="R34" s="125">
        <f t="shared" si="24"/>
        <v>2378.971</v>
      </c>
      <c r="S34" s="125">
        <f t="shared" si="24"/>
        <v>3498.2580000000003</v>
      </c>
      <c r="T34" s="125">
        <f>SUM(T23:T33)</f>
        <v>1032</v>
      </c>
      <c r="U34" s="125">
        <f t="shared" ref="U34" si="25">SUM(U23:U33)</f>
        <v>951</v>
      </c>
      <c r="V34" s="125">
        <f>SUM(V23:V33)</f>
        <v>1243</v>
      </c>
      <c r="W34" s="125">
        <f>SUM(W25:W33)</f>
        <v>1086</v>
      </c>
      <c r="X34" s="126">
        <f>SUM(X25:X33)</f>
        <v>1214.2</v>
      </c>
      <c r="Y34" s="126">
        <f>SUM(Y25:Y33)</f>
        <v>1703.3999999999999</v>
      </c>
      <c r="Z34" s="126">
        <f>SUM(Z25:Z33)</f>
        <v>1834.5</v>
      </c>
      <c r="AA34" s="126">
        <f>SUM(AA25:AA33)</f>
        <v>2020.0808150543796</v>
      </c>
      <c r="AB34" s="120"/>
    </row>
    <row r="35" spans="1:42" ht="15.75" thickBot="1" x14ac:dyDescent="0.3">
      <c r="A35" s="73" t="s">
        <v>194</v>
      </c>
      <c r="B35" s="16">
        <f>B32+B34</f>
        <v>754.00000000000045</v>
      </c>
      <c r="C35" s="16">
        <f t="shared" ref="C35:G35" si="26">C32+SUM(C34:C34)</f>
        <v>493.99999999999977</v>
      </c>
      <c r="D35" s="16">
        <f t="shared" si="26"/>
        <v>434.99999999999977</v>
      </c>
      <c r="E35" s="16">
        <f t="shared" si="26"/>
        <v>674.99999999999989</v>
      </c>
      <c r="F35" s="16">
        <f t="shared" si="26"/>
        <v>780.19999999999914</v>
      </c>
      <c r="G35" s="16">
        <f t="shared" si="26"/>
        <v>852.90000000000066</v>
      </c>
      <c r="H35" s="75">
        <f>H32+SUM(H34:H34)</f>
        <v>1159.4999999999989</v>
      </c>
      <c r="I35" s="75">
        <f>I32+SUM(I34:I34)</f>
        <v>1158.4000000000001</v>
      </c>
      <c r="J35" s="76"/>
      <c r="K35" s="76"/>
      <c r="L35" s="76"/>
      <c r="M35" s="77"/>
      <c r="N35" s="78"/>
      <c r="O35" s="127"/>
      <c r="P35" s="128"/>
      <c r="Q35" s="128"/>
      <c r="R35" s="128"/>
      <c r="S35" s="128"/>
      <c r="T35" s="128"/>
      <c r="U35" s="128"/>
      <c r="V35" s="128"/>
      <c r="W35" s="128"/>
      <c r="X35" s="128"/>
      <c r="Y35" s="83"/>
      <c r="Z35" s="15"/>
      <c r="AA35" s="83"/>
    </row>
    <row r="36" spans="1:42" x14ac:dyDescent="0.25">
      <c r="A36" s="97" t="s">
        <v>8</v>
      </c>
      <c r="B36" s="129"/>
      <c r="C36" s="129">
        <f>C35/B35-1</f>
        <v>-0.34482758620689724</v>
      </c>
      <c r="D36" s="129">
        <f t="shared" ref="D36" si="27">D35/C35-1</f>
        <v>-0.11943319838056687</v>
      </c>
      <c r="E36" s="129">
        <f>E35/D35-1</f>
        <v>0.55172413793103514</v>
      </c>
      <c r="F36" s="129">
        <f>F35/E35-1</f>
        <v>0.1558518518518508</v>
      </c>
      <c r="G36" s="129">
        <f>G35/F35-1</f>
        <v>9.3181235580622301E-2</v>
      </c>
      <c r="H36" s="129">
        <f>H35/G35-1</f>
        <v>0.35947942314456327</v>
      </c>
      <c r="I36" s="129"/>
      <c r="J36" s="48"/>
      <c r="K36" s="48"/>
      <c r="L36" s="76"/>
      <c r="M36" s="76"/>
      <c r="O36" s="103" t="s">
        <v>62</v>
      </c>
      <c r="P36" s="130"/>
      <c r="Q36" s="131"/>
      <c r="R36" s="131"/>
      <c r="S36" s="131"/>
      <c r="T36" s="131"/>
      <c r="U36" s="131"/>
      <c r="V36" s="131"/>
      <c r="W36" s="131"/>
      <c r="X36" s="132"/>
      <c r="Y36" s="83"/>
      <c r="Z36" s="15"/>
      <c r="AA36" s="83"/>
    </row>
    <row r="37" spans="1:42" x14ac:dyDescent="0.25">
      <c r="A37" s="97" t="s">
        <v>9</v>
      </c>
      <c r="B37" s="98"/>
      <c r="C37" s="98"/>
      <c r="D37" s="98"/>
      <c r="E37" s="98">
        <f>(((E35/B35)^(1/3)-1)*-1)</f>
        <v>3.6220963324037792E-2</v>
      </c>
      <c r="F37" s="98">
        <f>+((F35/C35)^(1/3)-1)</f>
        <v>0.16455409183792113</v>
      </c>
      <c r="G37" s="98">
        <f>+((G35/D35)^(1/3)-1)</f>
        <v>0.25161171411239813</v>
      </c>
      <c r="H37" s="98">
        <f>+((H35/E35)^(1/3)-1)</f>
        <v>0.19762906349117415</v>
      </c>
      <c r="I37" s="98"/>
      <c r="J37" s="49"/>
      <c r="K37" s="49"/>
      <c r="L37" s="76"/>
      <c r="M37" s="76"/>
      <c r="O37" s="101" t="s">
        <v>48</v>
      </c>
      <c r="P37" s="15">
        <v>2794.7750000000001</v>
      </c>
      <c r="Q37" s="15">
        <v>3373.2649999999999</v>
      </c>
      <c r="R37" s="15">
        <v>3316.1669999999999</v>
      </c>
      <c r="S37" s="15">
        <v>3212.8989999999999</v>
      </c>
      <c r="T37" s="121">
        <v>591</v>
      </c>
      <c r="U37" s="121">
        <v>604</v>
      </c>
      <c r="V37" s="15">
        <v>715</v>
      </c>
      <c r="W37" s="75">
        <v>1163</v>
      </c>
      <c r="X37" s="92">
        <v>1210.5999999999999</v>
      </c>
      <c r="Y37" s="112">
        <v>1311.7</v>
      </c>
      <c r="Z37" s="15">
        <v>1437.2</v>
      </c>
      <c r="AA37" s="119">
        <v>1484.1799999999998</v>
      </c>
      <c r="AB37" s="120"/>
    </row>
    <row r="38" spans="1:42" x14ac:dyDescent="0.25">
      <c r="A38" s="73" t="s">
        <v>22</v>
      </c>
      <c r="B38" s="109">
        <v>25.88</v>
      </c>
      <c r="C38" s="109">
        <v>24.02</v>
      </c>
      <c r="D38" s="109">
        <v>17.52</v>
      </c>
      <c r="E38" s="73">
        <v>22.21</v>
      </c>
      <c r="F38" s="73">
        <v>21.32</v>
      </c>
      <c r="G38" s="73">
        <v>26.21</v>
      </c>
      <c r="H38" s="39">
        <v>36.372599709019205</v>
      </c>
      <c r="I38" s="39">
        <v>31.54</v>
      </c>
      <c r="J38" s="50"/>
      <c r="K38" s="50"/>
      <c r="L38" s="38"/>
      <c r="M38" s="38"/>
      <c r="N38" s="78"/>
      <c r="O38" s="101" t="s">
        <v>49</v>
      </c>
      <c r="P38" s="15">
        <v>69.36</v>
      </c>
      <c r="Q38" s="15">
        <v>18.068999999999999</v>
      </c>
      <c r="R38" s="15">
        <v>70.930999999999997</v>
      </c>
      <c r="S38" s="15">
        <v>51.779000000000003</v>
      </c>
      <c r="T38" s="83">
        <v>69</v>
      </c>
      <c r="U38" s="121">
        <v>132</v>
      </c>
      <c r="V38" s="15">
        <v>339</v>
      </c>
      <c r="W38" s="83">
        <v>51</v>
      </c>
      <c r="X38" s="92">
        <v>128</v>
      </c>
      <c r="Y38" s="112">
        <v>127.4</v>
      </c>
      <c r="Z38" s="15">
        <v>36.6</v>
      </c>
      <c r="AA38" s="119">
        <v>160.59911675000001</v>
      </c>
      <c r="AB38" s="120"/>
    </row>
    <row r="39" spans="1:42" x14ac:dyDescent="0.25">
      <c r="A39" s="83" t="s">
        <v>8</v>
      </c>
      <c r="B39" s="98"/>
      <c r="C39" s="98">
        <f>+C38/B38-1</f>
        <v>-7.1870170015455925E-2</v>
      </c>
      <c r="D39" s="98">
        <f t="shared" ref="D39" si="28">+D38/C38-1</f>
        <v>-0.27060782681099083</v>
      </c>
      <c r="E39" s="98">
        <f>+E38/D38-1</f>
        <v>0.26769406392694073</v>
      </c>
      <c r="F39" s="98">
        <f>+F38/E38-1</f>
        <v>-4.0072039621791955E-2</v>
      </c>
      <c r="G39" s="98">
        <f>G38/F38-1</f>
        <v>0.22936210131332091</v>
      </c>
      <c r="H39" s="129">
        <f>H38/G38-1</f>
        <v>0.38773749366727217</v>
      </c>
      <c r="I39" s="129"/>
      <c r="J39" s="48"/>
      <c r="K39" s="48"/>
      <c r="L39" s="76"/>
      <c r="M39" s="76"/>
      <c r="O39" s="101" t="s">
        <v>173</v>
      </c>
      <c r="P39" s="15"/>
      <c r="Q39" s="15"/>
      <c r="R39" s="15"/>
      <c r="S39" s="15"/>
      <c r="T39" s="15"/>
      <c r="U39" s="121">
        <v>140</v>
      </c>
      <c r="V39" s="15">
        <v>131</v>
      </c>
      <c r="W39" s="75">
        <v>122</v>
      </c>
      <c r="X39" s="92">
        <v>117.9</v>
      </c>
      <c r="Y39" s="112">
        <v>108.8</v>
      </c>
      <c r="Z39" s="15">
        <v>99.7</v>
      </c>
      <c r="AA39" s="119">
        <v>99.958975000000009</v>
      </c>
      <c r="AB39" s="120"/>
    </row>
    <row r="40" spans="1:42" x14ac:dyDescent="0.25">
      <c r="A40" s="83" t="s">
        <v>9</v>
      </c>
      <c r="B40" s="98"/>
      <c r="C40" s="98"/>
      <c r="D40" s="98"/>
      <c r="E40" s="98">
        <f>+((E38/B38)^(1/3)-1)</f>
        <v>-4.9698469202234641E-2</v>
      </c>
      <c r="F40" s="98">
        <f>+((F38/C38)^(1/3)-1)</f>
        <v>-3.8967519995541378E-2</v>
      </c>
      <c r="G40" s="98">
        <f>+((G38/D38)^(1/3)-1)</f>
        <v>0.14369697659948533</v>
      </c>
      <c r="H40" s="98">
        <f>+((H38/E38)^(1/3)-1)</f>
        <v>0.17871441530468091</v>
      </c>
      <c r="I40" s="98"/>
      <c r="J40" s="49"/>
      <c r="K40" s="49"/>
      <c r="L40" s="64"/>
      <c r="M40" s="76"/>
      <c r="O40" s="101" t="s">
        <v>175</v>
      </c>
      <c r="P40" s="15">
        <v>96.061000000000007</v>
      </c>
      <c r="Q40" s="15">
        <v>111.235</v>
      </c>
      <c r="R40" s="15">
        <v>109.246</v>
      </c>
      <c r="S40" s="15">
        <v>127.5</v>
      </c>
      <c r="T40" s="83">
        <v>54</v>
      </c>
      <c r="U40" s="83">
        <v>51</v>
      </c>
      <c r="V40" s="15">
        <v>56</v>
      </c>
      <c r="W40" s="75" t="s">
        <v>185</v>
      </c>
      <c r="X40" s="92" t="s">
        <v>186</v>
      </c>
      <c r="Y40" s="112"/>
      <c r="Z40" s="15">
        <v>0</v>
      </c>
      <c r="AA40" s="133"/>
      <c r="AB40" s="120"/>
    </row>
    <row r="41" spans="1:42" x14ac:dyDescent="0.25">
      <c r="Q41" s="101" t="s">
        <v>176</v>
      </c>
      <c r="R41" s="15">
        <v>37.162999999999997</v>
      </c>
      <c r="S41" s="15">
        <v>36.83</v>
      </c>
      <c r="T41" s="15">
        <v>37.058999999999997</v>
      </c>
      <c r="U41" s="15">
        <v>32.225000000000001</v>
      </c>
      <c r="V41" s="83">
        <v>17</v>
      </c>
      <c r="W41" s="83">
        <v>16</v>
      </c>
      <c r="X41" s="15">
        <v>12.5</v>
      </c>
      <c r="Y41" s="15">
        <v>17</v>
      </c>
      <c r="Z41" s="113">
        <v>15.9</v>
      </c>
      <c r="AA41" s="112">
        <f>11.3+3.2</f>
        <v>14.5</v>
      </c>
      <c r="AB41" s="15">
        <v>9.6999999999999993</v>
      </c>
      <c r="AC41" s="119">
        <v>6.2</v>
      </c>
      <c r="AD41" s="120"/>
    </row>
    <row r="42" spans="1:42" x14ac:dyDescent="0.25">
      <c r="Q42" s="101" t="s">
        <v>177</v>
      </c>
      <c r="R42" s="15"/>
      <c r="S42" s="15"/>
      <c r="T42" s="15"/>
      <c r="U42" s="15"/>
      <c r="V42" s="15"/>
      <c r="W42" s="15"/>
      <c r="X42" s="15"/>
      <c r="Y42" s="83"/>
      <c r="Z42" s="118"/>
      <c r="AA42" s="112"/>
      <c r="AB42" s="15"/>
      <c r="AC42" s="83"/>
      <c r="AD42" s="120"/>
      <c r="AP42">
        <f>4788-549</f>
        <v>4239</v>
      </c>
    </row>
    <row r="43" spans="1:42" x14ac:dyDescent="0.25">
      <c r="A43" s="197" t="s">
        <v>88</v>
      </c>
      <c r="B43" s="198"/>
      <c r="C43" s="198"/>
      <c r="D43" s="198"/>
      <c r="E43" s="198"/>
      <c r="F43" s="198"/>
      <c r="G43" s="198"/>
      <c r="H43" s="199"/>
      <c r="I43" s="60"/>
      <c r="J43" s="60"/>
      <c r="K43" s="60"/>
      <c r="Q43" s="101" t="s">
        <v>50</v>
      </c>
      <c r="R43" s="15"/>
      <c r="S43" s="15">
        <v>3.5000000000000003E-2</v>
      </c>
      <c r="T43" s="15">
        <v>2.5000000000000001E-2</v>
      </c>
      <c r="U43" s="15">
        <v>40.607999999999997</v>
      </c>
      <c r="V43" s="15">
        <v>1260</v>
      </c>
      <c r="W43" s="15">
        <v>1187</v>
      </c>
      <c r="X43" s="15">
        <v>1281</v>
      </c>
      <c r="Y43" s="75">
        <v>1456</v>
      </c>
      <c r="Z43" s="92">
        <v>2027.4</v>
      </c>
      <c r="AA43" s="112">
        <v>2507.8000000000002</v>
      </c>
      <c r="AB43" s="15">
        <v>3281.4</v>
      </c>
      <c r="AC43" s="119">
        <v>4080.6134157733586</v>
      </c>
      <c r="AD43" s="120"/>
    </row>
    <row r="44" spans="1:42" x14ac:dyDescent="0.25">
      <c r="A44" s="73" t="s">
        <v>1</v>
      </c>
      <c r="B44" s="134" t="s">
        <v>5</v>
      </c>
      <c r="C44" s="135" t="s">
        <v>6</v>
      </c>
      <c r="D44" s="135" t="s">
        <v>171</v>
      </c>
      <c r="E44" s="135" t="s">
        <v>172</v>
      </c>
      <c r="F44" s="135" t="s">
        <v>182</v>
      </c>
      <c r="G44" s="135" t="s">
        <v>209</v>
      </c>
      <c r="H44" s="135" t="s">
        <v>214</v>
      </c>
      <c r="I44" s="136" t="s">
        <v>214</v>
      </c>
      <c r="J44" s="136"/>
      <c r="K44" s="63" t="str">
        <f>I5</f>
        <v>9M-FY26</v>
      </c>
      <c r="Q44" s="101" t="s">
        <v>51</v>
      </c>
      <c r="R44" s="15"/>
      <c r="S44" s="15">
        <v>38.648000000000003</v>
      </c>
      <c r="T44" s="15">
        <v>85.988</v>
      </c>
      <c r="U44" s="15">
        <v>35.741999999999997</v>
      </c>
      <c r="V44" s="15">
        <v>4</v>
      </c>
      <c r="W44" s="15">
        <v>4.3</v>
      </c>
      <c r="X44" s="15">
        <v>4.5999999999999996</v>
      </c>
      <c r="Y44" s="15">
        <v>45</v>
      </c>
      <c r="Z44" s="92">
        <v>7.9</v>
      </c>
      <c r="AA44" s="112">
        <v>9.6</v>
      </c>
      <c r="AB44" s="15">
        <v>141.6</v>
      </c>
      <c r="AC44" s="119">
        <v>173.5</v>
      </c>
      <c r="AD44" s="120"/>
    </row>
    <row r="45" spans="1:42" x14ac:dyDescent="0.25">
      <c r="A45" s="73" t="s">
        <v>89</v>
      </c>
      <c r="B45" s="15">
        <v>43</v>
      </c>
      <c r="C45" s="15">
        <v>61</v>
      </c>
      <c r="D45" s="15">
        <f>C50</f>
        <v>137</v>
      </c>
      <c r="E45" s="15">
        <f>D50</f>
        <v>37</v>
      </c>
      <c r="F45" s="15">
        <v>235.8</v>
      </c>
      <c r="G45" s="137">
        <v>128.6</v>
      </c>
      <c r="H45" s="137"/>
      <c r="I45" s="119">
        <f>G50</f>
        <v>123.49999999999997</v>
      </c>
      <c r="J45" s="119"/>
      <c r="K45" s="119">
        <f>I50</f>
        <v>200.20000000000002</v>
      </c>
      <c r="Q45" s="101" t="s">
        <v>161</v>
      </c>
      <c r="R45" s="15">
        <v>473.12299999999999</v>
      </c>
      <c r="S45" s="15"/>
      <c r="T45" s="15"/>
      <c r="U45" s="15"/>
      <c r="V45" s="15">
        <v>9</v>
      </c>
      <c r="W45" s="15">
        <v>9</v>
      </c>
      <c r="X45" s="15">
        <v>8.1999999999999993</v>
      </c>
      <c r="Y45" s="15">
        <v>11</v>
      </c>
      <c r="Z45" s="25">
        <v>11.8</v>
      </c>
      <c r="AA45" s="112">
        <v>11.2</v>
      </c>
      <c r="AB45" s="15">
        <v>11.7</v>
      </c>
      <c r="AC45" s="119">
        <v>16.7</v>
      </c>
      <c r="AD45" s="120"/>
    </row>
    <row r="46" spans="1:42" x14ac:dyDescent="0.25">
      <c r="A46" s="83" t="s">
        <v>90</v>
      </c>
      <c r="B46" s="15">
        <v>363</v>
      </c>
      <c r="C46" s="15">
        <v>517</v>
      </c>
      <c r="D46" s="15">
        <v>382</v>
      </c>
      <c r="E46" s="15">
        <v>71</v>
      </c>
      <c r="F46" s="15">
        <v>568.6</v>
      </c>
      <c r="G46" s="137">
        <v>626.9</v>
      </c>
      <c r="H46" s="137"/>
      <c r="I46" s="15">
        <v>495.6</v>
      </c>
      <c r="J46" s="15"/>
      <c r="K46" s="15">
        <f>[1]CFS!$C$38/10</f>
        <v>219.11438300000009</v>
      </c>
      <c r="Q46" s="101" t="s">
        <v>178</v>
      </c>
      <c r="R46" s="15">
        <v>24.844999999999999</v>
      </c>
      <c r="S46" s="15">
        <v>380.60899999999998</v>
      </c>
      <c r="T46" s="15">
        <v>424.26799999999997</v>
      </c>
      <c r="U46" s="15">
        <v>710.62300000000005</v>
      </c>
      <c r="V46" s="15">
        <v>111</v>
      </c>
      <c r="W46" s="15">
        <v>48</v>
      </c>
      <c r="X46" s="15">
        <v>25.2</v>
      </c>
      <c r="Y46" s="15">
        <v>10</v>
      </c>
      <c r="Z46" s="25">
        <v>1.2</v>
      </c>
      <c r="AA46" s="83"/>
      <c r="AB46" s="15">
        <v>5.2</v>
      </c>
      <c r="AC46" s="119">
        <v>106.2</v>
      </c>
      <c r="AD46" s="120"/>
      <c r="AH46" t="s">
        <v>217</v>
      </c>
      <c r="AI46">
        <v>30</v>
      </c>
    </row>
    <row r="47" spans="1:42" x14ac:dyDescent="0.25">
      <c r="A47" s="83" t="s">
        <v>91</v>
      </c>
      <c r="B47" s="15">
        <v>-167</v>
      </c>
      <c r="C47" s="15">
        <v>-66</v>
      </c>
      <c r="D47" s="15">
        <v>-335</v>
      </c>
      <c r="E47" s="15">
        <v>281</v>
      </c>
      <c r="F47" s="15">
        <v>-456.7</v>
      </c>
      <c r="G47" s="138">
        <v>-386</v>
      </c>
      <c r="H47" s="137"/>
      <c r="I47" s="15">
        <v>-121.4</v>
      </c>
      <c r="J47" s="15"/>
      <c r="K47" s="15">
        <f>[1]CFS!$C$50/10</f>
        <v>-316.37583231683527</v>
      </c>
      <c r="Q47" s="101" t="s">
        <v>179</v>
      </c>
      <c r="R47" s="15"/>
      <c r="S47" s="15"/>
      <c r="T47" s="15"/>
      <c r="U47" s="15"/>
      <c r="V47" s="15"/>
      <c r="W47" s="15">
        <v>0</v>
      </c>
      <c r="X47" s="15"/>
      <c r="Y47" s="15"/>
      <c r="Z47" s="25"/>
      <c r="AA47" s="83"/>
      <c r="AB47" s="83">
        <v>0</v>
      </c>
      <c r="AC47" s="119"/>
      <c r="AD47" s="120"/>
      <c r="AH47" t="s">
        <v>218</v>
      </c>
      <c r="AI47">
        <v>31</v>
      </c>
    </row>
    <row r="48" spans="1:42" x14ac:dyDescent="0.25">
      <c r="A48" s="83" t="s">
        <v>92</v>
      </c>
      <c r="B48" s="15">
        <v>-178</v>
      </c>
      <c r="C48" s="15">
        <v>-375</v>
      </c>
      <c r="D48" s="15">
        <v>-147</v>
      </c>
      <c r="E48" s="15">
        <v>-153</v>
      </c>
      <c r="F48" s="15">
        <v>-219.1</v>
      </c>
      <c r="G48" s="138">
        <v>-246</v>
      </c>
      <c r="H48" s="137"/>
      <c r="I48" s="15">
        <v>-297.5</v>
      </c>
      <c r="J48" s="15"/>
      <c r="K48" s="15">
        <f>[1]CFS!$C$58/10</f>
        <v>-9.2879459999999998</v>
      </c>
      <c r="Q48" s="106" t="s">
        <v>52</v>
      </c>
      <c r="R48" s="16">
        <f t="shared" ref="R48:X48" si="29">SUM(R37:R47)</f>
        <v>4031.4749999999999</v>
      </c>
      <c r="S48" s="16">
        <f t="shared" si="29"/>
        <v>3848.2999999999997</v>
      </c>
      <c r="T48" s="16">
        <f t="shared" si="29"/>
        <v>1261.3399999999999</v>
      </c>
      <c r="U48" s="16">
        <f t="shared" si="29"/>
        <v>1746.1980000000001</v>
      </c>
      <c r="V48" s="16">
        <f t="shared" si="29"/>
        <v>2642</v>
      </c>
      <c r="W48" s="16">
        <f>SUM(W37:W47)</f>
        <v>2600.3000000000002</v>
      </c>
      <c r="X48" s="16">
        <f t="shared" si="29"/>
        <v>2787.9999999999995</v>
      </c>
      <c r="Y48" s="16">
        <f>SUM(Y37:Y47)</f>
        <v>3086.9</v>
      </c>
      <c r="Z48" s="107">
        <f>SUM(Z37:Z47)</f>
        <v>3637.7000000000003</v>
      </c>
      <c r="AA48" s="107">
        <f>SUM(AA37:AA47)</f>
        <v>4287.8380917500008</v>
      </c>
      <c r="AB48" s="107">
        <f>SUM(AB37:AB47)</f>
        <v>3449.5999999999995</v>
      </c>
      <c r="AC48" s="107">
        <f>SUM(AC37:AC47)</f>
        <v>4383.2134157733581</v>
      </c>
      <c r="AD48" s="120"/>
      <c r="AH48" t="s">
        <v>219</v>
      </c>
      <c r="AI48">
        <v>30</v>
      </c>
    </row>
    <row r="49" spans="1:35" x14ac:dyDescent="0.25">
      <c r="A49" s="73" t="s">
        <v>93</v>
      </c>
      <c r="B49" s="16">
        <f>+B46+B47+B48</f>
        <v>18</v>
      </c>
      <c r="C49" s="16">
        <f t="shared" ref="C49:D49" si="30">+C46+C47+C48</f>
        <v>76</v>
      </c>
      <c r="D49" s="16">
        <f t="shared" si="30"/>
        <v>-100</v>
      </c>
      <c r="E49" s="16">
        <f>+E46+E47+E48</f>
        <v>199</v>
      </c>
      <c r="F49" s="16">
        <f>+F46+F47+F48</f>
        <v>-107.19999999999996</v>
      </c>
      <c r="G49" s="135">
        <f>G48+G47+G46</f>
        <v>-5.1000000000000227</v>
      </c>
      <c r="H49" s="135">
        <f>H48+H47+H46</f>
        <v>0</v>
      </c>
      <c r="I49" s="135">
        <f>I48+I47+I46</f>
        <v>76.700000000000045</v>
      </c>
      <c r="J49" s="135"/>
      <c r="K49" s="139">
        <f>K48+K47+K46</f>
        <v>-106.54939531683516</v>
      </c>
      <c r="Q49" s="106" t="s">
        <v>53</v>
      </c>
      <c r="R49" s="73"/>
      <c r="S49" s="83"/>
      <c r="T49" s="83"/>
      <c r="U49" s="83"/>
      <c r="V49" s="111"/>
      <c r="W49" s="111"/>
      <c r="X49" s="112"/>
      <c r="Y49" s="112"/>
      <c r="Z49" s="113"/>
      <c r="AA49" s="83"/>
      <c r="AB49" s="83"/>
      <c r="AC49" s="83"/>
      <c r="AI49">
        <f>SUM(AI46:AI48)</f>
        <v>91</v>
      </c>
    </row>
    <row r="50" spans="1:35" x14ac:dyDescent="0.25">
      <c r="A50" s="73" t="s">
        <v>94</v>
      </c>
      <c r="B50" s="16">
        <f t="shared" ref="B50:F50" si="31">+B45+B49</f>
        <v>61</v>
      </c>
      <c r="C50" s="16">
        <f t="shared" si="31"/>
        <v>137</v>
      </c>
      <c r="D50" s="16">
        <f t="shared" si="31"/>
        <v>37</v>
      </c>
      <c r="E50" s="16">
        <f t="shared" si="31"/>
        <v>236</v>
      </c>
      <c r="F50" s="16">
        <f t="shared" si="31"/>
        <v>128.60000000000005</v>
      </c>
      <c r="G50" s="16">
        <f>+G45+G49</f>
        <v>123.49999999999997</v>
      </c>
      <c r="H50" s="16">
        <f>+H45+H49</f>
        <v>0</v>
      </c>
      <c r="I50" s="16">
        <f>+I45+I49</f>
        <v>200.20000000000002</v>
      </c>
      <c r="J50" s="16"/>
      <c r="K50" s="16">
        <f>+K45+K49</f>
        <v>93.650604683164858</v>
      </c>
      <c r="N50" s="120"/>
      <c r="Q50" s="101" t="s">
        <v>54</v>
      </c>
      <c r="R50" s="15">
        <v>1418.1790000000001</v>
      </c>
      <c r="S50" s="15">
        <v>1238.231</v>
      </c>
      <c r="T50" s="15">
        <v>1135.971</v>
      </c>
      <c r="U50" s="15">
        <v>1442.981</v>
      </c>
      <c r="V50" s="15">
        <v>353</v>
      </c>
      <c r="W50" s="15">
        <v>387</v>
      </c>
      <c r="X50" s="15">
        <v>438</v>
      </c>
      <c r="Y50" s="75">
        <v>496</v>
      </c>
      <c r="Z50" s="92">
        <v>560.6</v>
      </c>
      <c r="AA50" s="112">
        <v>691.7</v>
      </c>
      <c r="AB50" s="112">
        <v>722.1</v>
      </c>
      <c r="AC50" s="119">
        <v>1031.9000000000001</v>
      </c>
      <c r="AD50" s="120"/>
      <c r="AH50" t="s">
        <v>244</v>
      </c>
      <c r="AI50">
        <v>31</v>
      </c>
    </row>
    <row r="51" spans="1:35" x14ac:dyDescent="0.25">
      <c r="H51" s="140"/>
      <c r="I51" s="140"/>
      <c r="J51" s="140"/>
      <c r="K51" s="140"/>
      <c r="L51" s="140"/>
      <c r="M51" s="140"/>
      <c r="N51" s="140"/>
      <c r="O51" s="140"/>
      <c r="Q51" s="101" t="s">
        <v>55</v>
      </c>
      <c r="R51" s="15"/>
      <c r="S51" s="15"/>
      <c r="T51" s="15"/>
      <c r="U51" s="15"/>
      <c r="V51" s="15"/>
      <c r="W51" s="15"/>
      <c r="X51" s="15"/>
      <c r="Y51" s="15"/>
      <c r="Z51" s="25"/>
      <c r="AA51" s="83"/>
      <c r="AB51" s="83"/>
      <c r="AC51" s="83"/>
      <c r="AD51" s="120"/>
      <c r="AH51" t="s">
        <v>245</v>
      </c>
      <c r="AI51">
        <v>31</v>
      </c>
    </row>
    <row r="52" spans="1:35" x14ac:dyDescent="0.25">
      <c r="A52" s="58" t="s">
        <v>95</v>
      </c>
      <c r="B52" s="59"/>
      <c r="C52" s="59"/>
      <c r="D52" s="59"/>
      <c r="E52" s="59"/>
      <c r="F52" s="59"/>
      <c r="G52" s="59"/>
      <c r="H52" s="61"/>
      <c r="I52" s="60"/>
      <c r="J52" s="60"/>
      <c r="K52" s="60"/>
      <c r="L52" s="60"/>
      <c r="M52" s="60"/>
      <c r="N52" s="60"/>
      <c r="O52" s="60"/>
      <c r="Q52" s="101" t="s">
        <v>50</v>
      </c>
      <c r="R52" s="15">
        <v>43.622</v>
      </c>
      <c r="S52" s="15">
        <v>167.56200000000001</v>
      </c>
      <c r="T52" s="15">
        <v>181.881</v>
      </c>
      <c r="U52" s="15">
        <v>311.99</v>
      </c>
      <c r="V52" s="15">
        <v>1348</v>
      </c>
      <c r="W52" s="15">
        <v>1431</v>
      </c>
      <c r="X52" s="15">
        <v>1325</v>
      </c>
      <c r="Y52" s="75">
        <v>1327</v>
      </c>
      <c r="Z52" s="92">
        <v>1522.8</v>
      </c>
      <c r="AA52" s="75">
        <v>1810.8</v>
      </c>
      <c r="AB52" s="75">
        <v>1443.3</v>
      </c>
      <c r="AC52" s="75">
        <v>1433.5</v>
      </c>
      <c r="AD52" s="120"/>
      <c r="AH52" t="s">
        <v>246</v>
      </c>
      <c r="AI52">
        <v>30</v>
      </c>
    </row>
    <row r="53" spans="1:35" x14ac:dyDescent="0.25">
      <c r="A53" s="103" t="s">
        <v>1</v>
      </c>
      <c r="B53" s="141" t="s">
        <v>5</v>
      </c>
      <c r="C53" s="142" t="s">
        <v>6</v>
      </c>
      <c r="D53" s="142" t="s">
        <v>171</v>
      </c>
      <c r="E53" s="142" t="s">
        <v>172</v>
      </c>
      <c r="F53" s="143" t="s">
        <v>182</v>
      </c>
      <c r="G53" s="142" t="s">
        <v>209</v>
      </c>
      <c r="H53" s="142" t="s">
        <v>214</v>
      </c>
      <c r="I53" s="142" t="s">
        <v>214</v>
      </c>
      <c r="J53" s="140"/>
      <c r="K53" s="140" t="str">
        <f>K44</f>
        <v>9M-FY26</v>
      </c>
      <c r="Q53" s="101" t="s">
        <v>56</v>
      </c>
      <c r="R53" s="15">
        <v>809.10299999999995</v>
      </c>
      <c r="S53" s="15">
        <v>811.56100000000004</v>
      </c>
      <c r="T53" s="15">
        <v>1039.3579999999999</v>
      </c>
      <c r="U53" s="15">
        <v>1699.0820000000001</v>
      </c>
      <c r="V53" s="15">
        <v>1040</v>
      </c>
      <c r="W53" s="15">
        <v>881</v>
      </c>
      <c r="X53" s="15">
        <v>1094</v>
      </c>
      <c r="Y53" s="75">
        <v>1181</v>
      </c>
      <c r="Z53" s="92">
        <v>1194.7</v>
      </c>
      <c r="AA53" s="112">
        <v>1417.5</v>
      </c>
      <c r="AB53" s="112">
        <v>1696.5</v>
      </c>
      <c r="AC53" s="112">
        <v>1989.1</v>
      </c>
      <c r="AD53" s="120"/>
      <c r="AI53">
        <f>SUM(AI50:AI52)</f>
        <v>92</v>
      </c>
    </row>
    <row r="54" spans="1:35" x14ac:dyDescent="0.25">
      <c r="A54" s="106" t="s">
        <v>96</v>
      </c>
      <c r="B54" s="15">
        <f>B46</f>
        <v>363</v>
      </c>
      <c r="C54" s="15">
        <f>C46</f>
        <v>517</v>
      </c>
      <c r="D54" s="15">
        <f t="shared" ref="D54:K54" si="32">+D46</f>
        <v>382</v>
      </c>
      <c r="E54" s="15">
        <f t="shared" si="32"/>
        <v>71</v>
      </c>
      <c r="F54" s="25">
        <f t="shared" si="32"/>
        <v>568.6</v>
      </c>
      <c r="G54" s="15">
        <f t="shared" si="32"/>
        <v>626.9</v>
      </c>
      <c r="H54" s="15">
        <f t="shared" si="32"/>
        <v>0</v>
      </c>
      <c r="I54" s="15">
        <f t="shared" si="32"/>
        <v>495.6</v>
      </c>
      <c r="J54" s="15"/>
      <c r="K54" s="15">
        <f t="shared" si="32"/>
        <v>219.11438300000009</v>
      </c>
      <c r="Q54" s="101" t="s">
        <v>57</v>
      </c>
      <c r="R54" s="15">
        <v>114.087</v>
      </c>
      <c r="S54" s="15">
        <v>37.756999999999998</v>
      </c>
      <c r="T54" s="15">
        <v>59.036999999999999</v>
      </c>
      <c r="U54" s="15">
        <v>67.146000000000001</v>
      </c>
      <c r="V54" s="15">
        <v>61</v>
      </c>
      <c r="W54" s="15">
        <v>137</v>
      </c>
      <c r="X54" s="15">
        <v>38</v>
      </c>
      <c r="Y54" s="75">
        <v>236</v>
      </c>
      <c r="Z54" s="92">
        <v>128.6</v>
      </c>
      <c r="AA54" s="112">
        <v>123.5</v>
      </c>
      <c r="AB54" s="112">
        <v>200.1</v>
      </c>
      <c r="AC54" s="112">
        <v>93.6</v>
      </c>
      <c r="AD54" s="120"/>
    </row>
    <row r="55" spans="1:35" x14ac:dyDescent="0.25">
      <c r="A55" s="101" t="s">
        <v>97</v>
      </c>
      <c r="B55" s="15">
        <v>-156</v>
      </c>
      <c r="C55" s="15">
        <f>-183+118</f>
        <v>-65</v>
      </c>
      <c r="D55" s="15">
        <f>-371</f>
        <v>-371</v>
      </c>
      <c r="E55" s="15">
        <f>-277+244</f>
        <v>-33</v>
      </c>
      <c r="F55" s="25">
        <v>-252.1</v>
      </c>
      <c r="G55" s="15">
        <v>-239.9</v>
      </c>
      <c r="H55" s="15"/>
      <c r="I55" s="15">
        <v>-232.5</v>
      </c>
      <c r="J55" s="51"/>
      <c r="K55" s="53">
        <f>-3047/10</f>
        <v>-304.7</v>
      </c>
      <c r="L55" t="s">
        <v>249</v>
      </c>
      <c r="Q55" s="101" t="s">
        <v>58</v>
      </c>
      <c r="R55" s="15">
        <v>213.56800000000001</v>
      </c>
      <c r="S55" s="15">
        <v>67.641999999999996</v>
      </c>
      <c r="T55" s="15">
        <v>66.626000000000005</v>
      </c>
      <c r="U55" s="15">
        <v>41.164999999999999</v>
      </c>
      <c r="V55" s="15">
        <v>77</v>
      </c>
      <c r="W55" s="15">
        <v>147</v>
      </c>
      <c r="X55" s="15">
        <v>289</v>
      </c>
      <c r="Y55" s="15">
        <v>130</v>
      </c>
      <c r="Z55" s="113">
        <v>99.6</v>
      </c>
      <c r="AA55" s="112">
        <v>65.599999999999994</v>
      </c>
      <c r="AB55" s="112">
        <v>36.4</v>
      </c>
      <c r="AC55" s="112">
        <v>5.8</v>
      </c>
      <c r="AD55" s="120"/>
      <c r="AH55" t="s">
        <v>247</v>
      </c>
      <c r="AI55">
        <f>AI49+AI53</f>
        <v>183</v>
      </c>
    </row>
    <row r="56" spans="1:35" ht="15.75" thickBot="1" x14ac:dyDescent="0.3">
      <c r="A56" s="144" t="s">
        <v>98</v>
      </c>
      <c r="B56" s="87">
        <v>9</v>
      </c>
      <c r="C56" s="87">
        <f t="shared" ref="C56" si="33">+C54+C55</f>
        <v>452</v>
      </c>
      <c r="D56" s="87">
        <f t="shared" ref="D56" si="34">+D54+D55</f>
        <v>11</v>
      </c>
      <c r="E56" s="87">
        <f>+E54+E55</f>
        <v>38</v>
      </c>
      <c r="F56" s="102">
        <f>+F54+F55</f>
        <v>316.5</v>
      </c>
      <c r="G56" s="15">
        <f>G54+G55</f>
        <v>387</v>
      </c>
      <c r="H56" s="15">
        <f>H54+H55</f>
        <v>0</v>
      </c>
      <c r="I56" s="15">
        <f>I54+I55</f>
        <v>263.10000000000002</v>
      </c>
      <c r="J56" s="15"/>
      <c r="K56" s="15">
        <f>K54+K55</f>
        <v>-85.5856169999999</v>
      </c>
      <c r="Q56" s="101" t="s">
        <v>187</v>
      </c>
      <c r="R56" s="15"/>
      <c r="S56" s="15"/>
      <c r="T56" s="15"/>
      <c r="U56" s="15"/>
      <c r="V56" s="15">
        <v>53</v>
      </c>
      <c r="W56" s="15">
        <v>51</v>
      </c>
      <c r="X56" s="15">
        <v>50</v>
      </c>
      <c r="Y56" s="15"/>
      <c r="Z56" s="25"/>
      <c r="AA56" s="112"/>
      <c r="AB56" s="112">
        <v>0</v>
      </c>
      <c r="AC56" s="112">
        <v>0</v>
      </c>
      <c r="AD56" s="120"/>
    </row>
    <row r="57" spans="1:35" ht="15.75" thickBot="1" x14ac:dyDescent="0.3">
      <c r="N57">
        <f>-232.5+7381.7</f>
        <v>7149.2</v>
      </c>
      <c r="Q57" s="101" t="s">
        <v>174</v>
      </c>
      <c r="R57" s="15"/>
      <c r="S57" s="15">
        <v>20.960999999999999</v>
      </c>
      <c r="T57" s="15">
        <v>22.289000000000001</v>
      </c>
      <c r="U57" s="15">
        <v>29.027000000000001</v>
      </c>
      <c r="V57" s="15">
        <v>10</v>
      </c>
      <c r="W57" s="15">
        <v>10</v>
      </c>
      <c r="X57" s="15">
        <v>11</v>
      </c>
      <c r="Y57" s="15">
        <v>11</v>
      </c>
      <c r="Z57" s="25">
        <v>13.3</v>
      </c>
      <c r="AA57" s="112">
        <v>6.6</v>
      </c>
      <c r="AB57" s="112">
        <v>84.2</v>
      </c>
      <c r="AC57" s="46">
        <v>14.2</v>
      </c>
      <c r="AD57" s="120"/>
    </row>
    <row r="58" spans="1:35" ht="15.75" thickBot="1" x14ac:dyDescent="0.3">
      <c r="A58" s="145" t="s">
        <v>170</v>
      </c>
      <c r="B58" s="55" t="s">
        <v>5</v>
      </c>
      <c r="C58" s="146" t="s">
        <v>6</v>
      </c>
      <c r="D58" s="146" t="s">
        <v>171</v>
      </c>
      <c r="E58" s="146" t="s">
        <v>172</v>
      </c>
      <c r="F58" s="56" t="s">
        <v>182</v>
      </c>
      <c r="G58" s="57" t="s">
        <v>209</v>
      </c>
      <c r="H58" s="55" t="s">
        <v>214</v>
      </c>
      <c r="I58" s="57" t="s">
        <v>214</v>
      </c>
      <c r="J58" s="57"/>
      <c r="K58" s="147" t="str">
        <f>K53</f>
        <v>9M-FY26</v>
      </c>
      <c r="L58" s="140"/>
      <c r="M58" s="140"/>
      <c r="N58" s="140"/>
      <c r="O58" s="140"/>
      <c r="Q58" s="101" t="s">
        <v>189</v>
      </c>
      <c r="R58" s="15"/>
      <c r="S58" s="15"/>
      <c r="T58" s="15"/>
      <c r="U58" s="15"/>
      <c r="V58" s="15">
        <v>40</v>
      </c>
      <c r="W58" s="15">
        <v>60</v>
      </c>
      <c r="X58" s="15">
        <v>81</v>
      </c>
      <c r="Y58" s="15">
        <v>90</v>
      </c>
      <c r="Z58" s="113">
        <v>76.8</v>
      </c>
      <c r="AA58" s="112">
        <v>110.9</v>
      </c>
      <c r="AB58" s="112">
        <v>105</v>
      </c>
      <c r="AC58" s="112">
        <v>160.30000000000001</v>
      </c>
      <c r="AD58" s="120"/>
    </row>
    <row r="59" spans="1:35" x14ac:dyDescent="0.25">
      <c r="A59" s="148" t="s">
        <v>99</v>
      </c>
      <c r="B59" s="21">
        <v>22621424</v>
      </c>
      <c r="C59" s="18">
        <v>22621424</v>
      </c>
      <c r="D59" s="21">
        <v>22621424</v>
      </c>
      <c r="E59" s="18">
        <v>22621424</v>
      </c>
      <c r="F59" s="21">
        <v>22621424</v>
      </c>
      <c r="G59" s="17">
        <v>22621424</v>
      </c>
      <c r="H59" s="18"/>
      <c r="I59" s="17">
        <v>22621424</v>
      </c>
      <c r="J59" s="17"/>
      <c r="K59" s="206">
        <v>22621424</v>
      </c>
      <c r="L59" s="26"/>
      <c r="M59" s="26"/>
      <c r="N59" s="26"/>
      <c r="O59" s="26"/>
      <c r="Q59" s="101" t="s">
        <v>59</v>
      </c>
      <c r="R59" s="15"/>
      <c r="S59" s="15"/>
      <c r="T59" s="15"/>
      <c r="U59" s="15"/>
      <c r="V59" s="15"/>
      <c r="W59" s="15"/>
      <c r="X59" s="15">
        <v>31</v>
      </c>
      <c r="Y59" s="15">
        <v>66</v>
      </c>
      <c r="Z59" s="113">
        <v>60.4</v>
      </c>
      <c r="AA59" s="112">
        <v>52.7</v>
      </c>
      <c r="AB59" s="112">
        <v>78.099999999999994</v>
      </c>
      <c r="AC59" s="112">
        <v>0</v>
      </c>
      <c r="AD59" s="120"/>
    </row>
    <row r="60" spans="1:35" x14ac:dyDescent="0.25">
      <c r="A60" s="149" t="s">
        <v>100</v>
      </c>
      <c r="B60" s="22">
        <f t="shared" ref="B60:H60" si="35">B59*V67/1000000</f>
        <v>9537.1923583999996</v>
      </c>
      <c r="C60" s="19">
        <f t="shared" si="35"/>
        <v>4301.4637736000004</v>
      </c>
      <c r="D60" s="22">
        <f t="shared" si="35"/>
        <v>8341.6501000000007</v>
      </c>
      <c r="E60" s="19">
        <f t="shared" si="35"/>
        <v>9612.9741287999987</v>
      </c>
      <c r="F60" s="22">
        <f t="shared" si="35"/>
        <v>7484.2981304000004</v>
      </c>
      <c r="G60" s="22">
        <f t="shared" si="35"/>
        <v>15397.272245600001</v>
      </c>
      <c r="H60" s="27">
        <f t="shared" si="35"/>
        <v>0</v>
      </c>
      <c r="I60" s="22">
        <f>I59*AB67/1000000</f>
        <v>13554.757260800001</v>
      </c>
      <c r="J60" s="22"/>
      <c r="K60" s="207">
        <f>K59*AC67/1000000</f>
        <v>18408.183779999999</v>
      </c>
      <c r="L60" s="26"/>
      <c r="M60" s="26"/>
      <c r="N60" s="26"/>
      <c r="O60" s="26"/>
      <c r="Q60" s="106" t="s">
        <v>60</v>
      </c>
      <c r="R60" s="16">
        <f>SUM(R50:R59)</f>
        <v>2598.5590000000002</v>
      </c>
      <c r="S60" s="16">
        <f>SUM(S50:S59)</f>
        <v>2343.7139999999999</v>
      </c>
      <c r="T60" s="16">
        <f t="shared" ref="T60:U60" si="36">SUM(T50:T59)</f>
        <v>2505.1620000000003</v>
      </c>
      <c r="U60" s="16">
        <f t="shared" si="36"/>
        <v>3591.3910000000001</v>
      </c>
      <c r="V60" s="16">
        <f>SUM(V50:V59)-V52</f>
        <v>1634</v>
      </c>
      <c r="W60" s="16">
        <f t="shared" ref="W60:Z60" si="37">SUM(W50:W59)-W52</f>
        <v>1673</v>
      </c>
      <c r="X60" s="16">
        <f t="shared" si="37"/>
        <v>2032</v>
      </c>
      <c r="Y60" s="16">
        <f t="shared" si="37"/>
        <v>2210</v>
      </c>
      <c r="Z60" s="16">
        <f t="shared" si="37"/>
        <v>2134.0000000000009</v>
      </c>
      <c r="AA60" s="16">
        <f>SUM(AA50:AA59)-AA52</f>
        <v>2468.5</v>
      </c>
      <c r="AB60" s="16">
        <f>SUM(AB50:AB59)-AB52</f>
        <v>2922.3999999999996</v>
      </c>
      <c r="AC60" s="16">
        <f>SUM(AC50:AC59)-AC52</f>
        <v>3294.9000000000005</v>
      </c>
      <c r="AD60" s="120"/>
    </row>
    <row r="61" spans="1:35" ht="15.75" thickBot="1" x14ac:dyDescent="0.3">
      <c r="A61" s="149" t="s">
        <v>101</v>
      </c>
      <c r="B61" s="22">
        <f>T12</f>
        <v>0</v>
      </c>
      <c r="C61" s="19">
        <f>U12</f>
        <v>0</v>
      </c>
      <c r="D61" s="22">
        <f>V12</f>
        <v>0</v>
      </c>
      <c r="E61" s="19">
        <f>W12</f>
        <v>0</v>
      </c>
      <c r="F61" s="22">
        <f>X12</f>
        <v>0</v>
      </c>
      <c r="G61" s="20">
        <v>0</v>
      </c>
      <c r="H61" s="19">
        <v>0</v>
      </c>
      <c r="I61" s="20">
        <v>0</v>
      </c>
      <c r="J61" s="52"/>
      <c r="K61" s="208"/>
      <c r="L61" s="26"/>
      <c r="M61" s="26"/>
      <c r="N61" s="26"/>
      <c r="O61" s="26"/>
      <c r="Q61" s="124" t="s">
        <v>105</v>
      </c>
      <c r="R61" s="125">
        <f>2598.559-1859.879</f>
        <v>738.68000000000029</v>
      </c>
      <c r="S61" s="125">
        <f t="shared" ref="S61:AC61" si="38">S60-Q34</f>
        <v>533.46399999999994</v>
      </c>
      <c r="T61" s="125">
        <f t="shared" si="38"/>
        <v>126.19100000000026</v>
      </c>
      <c r="U61" s="125">
        <f t="shared" si="38"/>
        <v>93.132999999999811</v>
      </c>
      <c r="V61" s="125">
        <f t="shared" si="38"/>
        <v>602</v>
      </c>
      <c r="W61" s="125">
        <f t="shared" si="38"/>
        <v>722</v>
      </c>
      <c r="X61" s="125">
        <f t="shared" si="38"/>
        <v>789</v>
      </c>
      <c r="Y61" s="125">
        <f t="shared" si="38"/>
        <v>1124</v>
      </c>
      <c r="Z61" s="126">
        <f t="shared" si="38"/>
        <v>919.80000000000086</v>
      </c>
      <c r="AA61" s="126">
        <f t="shared" si="38"/>
        <v>765.10000000000014</v>
      </c>
      <c r="AB61" s="126">
        <f t="shared" si="38"/>
        <v>1087.8999999999996</v>
      </c>
      <c r="AC61" s="126">
        <f t="shared" si="38"/>
        <v>1274.8191849456209</v>
      </c>
      <c r="AD61" s="120"/>
    </row>
    <row r="62" spans="1:35" x14ac:dyDescent="0.25">
      <c r="A62" s="149" t="s">
        <v>102</v>
      </c>
      <c r="B62" s="22">
        <f t="shared" ref="B62:H62" si="39">V54+V55</f>
        <v>138</v>
      </c>
      <c r="C62" s="19">
        <f t="shared" si="39"/>
        <v>284</v>
      </c>
      <c r="D62" s="22">
        <f t="shared" si="39"/>
        <v>327</v>
      </c>
      <c r="E62" s="19">
        <f t="shared" si="39"/>
        <v>366</v>
      </c>
      <c r="F62" s="22">
        <f t="shared" si="39"/>
        <v>228.2</v>
      </c>
      <c r="G62" s="22">
        <f t="shared" si="39"/>
        <v>189.1</v>
      </c>
      <c r="H62" s="27">
        <f t="shared" si="39"/>
        <v>236.5</v>
      </c>
      <c r="I62" s="22">
        <f>AB54+AB55</f>
        <v>236.5</v>
      </c>
      <c r="J62" s="22"/>
      <c r="K62" s="207">
        <f>AC54+AC55</f>
        <v>99.399999999999991</v>
      </c>
      <c r="L62" s="26"/>
      <c r="M62" s="26"/>
      <c r="N62" s="26"/>
      <c r="O62" s="26"/>
      <c r="Q62" s="150" t="s">
        <v>61</v>
      </c>
      <c r="R62" s="151">
        <f t="shared" ref="R62:U62" si="40">SUM(R48,R60)</f>
        <v>6630.0339999999997</v>
      </c>
      <c r="S62" s="151">
        <f t="shared" si="40"/>
        <v>6192.0139999999992</v>
      </c>
      <c r="T62" s="151">
        <f t="shared" si="40"/>
        <v>3766.5020000000004</v>
      </c>
      <c r="U62" s="151">
        <f t="shared" si="40"/>
        <v>5337.5889999999999</v>
      </c>
      <c r="V62" s="152">
        <f>SUM(V48,V60)+V52</f>
        <v>5624</v>
      </c>
      <c r="W62" s="152">
        <f t="shared" ref="W62:Y62" si="41">SUM(W48,W60)+W52</f>
        <v>5704.3</v>
      </c>
      <c r="X62" s="152">
        <f t="shared" si="41"/>
        <v>6145</v>
      </c>
      <c r="Y62" s="152">
        <f t="shared" si="41"/>
        <v>6623.9</v>
      </c>
      <c r="Z62" s="152">
        <f>SUM(Z48,Z60)+Z52</f>
        <v>7294.5000000000009</v>
      </c>
      <c r="AA62" s="152">
        <f>SUM(AA48,AA60)+AA52</f>
        <v>8567.138091750001</v>
      </c>
      <c r="AB62" s="152">
        <f>SUM(AB48,AB60)+AB52</f>
        <v>7815.2999999999993</v>
      </c>
      <c r="AC62" s="152">
        <f>SUM(AC48,AC60)+AC52</f>
        <v>9111.6134157733577</v>
      </c>
      <c r="AD62" s="120"/>
      <c r="AE62" s="120"/>
    </row>
    <row r="63" spans="1:35" ht="15.75" thickBot="1" x14ac:dyDescent="0.3">
      <c r="A63" s="153" t="s">
        <v>103</v>
      </c>
      <c r="B63" s="154">
        <f t="shared" ref="B63:C63" si="42">B60+B61-B62</f>
        <v>9399.1923583999996</v>
      </c>
      <c r="C63" s="155">
        <f t="shared" si="42"/>
        <v>4017.4637736000004</v>
      </c>
      <c r="D63" s="154">
        <f t="shared" ref="D63" si="43">D60+D61-D62</f>
        <v>8014.6501000000007</v>
      </c>
      <c r="E63" s="155">
        <f t="shared" ref="E63:I63" si="44">E60+E61-E62</f>
        <v>9246.9741287999987</v>
      </c>
      <c r="F63" s="154">
        <f t="shared" si="44"/>
        <v>7256.0981304000006</v>
      </c>
      <c r="G63" s="156">
        <f t="shared" si="44"/>
        <v>15208.172245600001</v>
      </c>
      <c r="H63" s="155">
        <f t="shared" si="44"/>
        <v>-236.5</v>
      </c>
      <c r="I63" s="156">
        <f t="shared" si="44"/>
        <v>13318.257260800001</v>
      </c>
      <c r="J63" s="156"/>
      <c r="K63" s="209">
        <f>K60+K61-K62</f>
        <v>18308.783779999998</v>
      </c>
      <c r="L63" s="35"/>
      <c r="M63" s="35"/>
      <c r="N63" s="35"/>
      <c r="O63" s="35"/>
      <c r="Q63" s="144" t="s">
        <v>47</v>
      </c>
      <c r="R63" s="157">
        <f t="shared" ref="R63:X63" si="45">+P34+P22+P12+P8+P9</f>
        <v>6093.8860000000004</v>
      </c>
      <c r="S63" s="157">
        <f t="shared" si="45"/>
        <v>6482.9340000000002</v>
      </c>
      <c r="T63" s="157">
        <f t="shared" si="45"/>
        <v>6766.7760000000007</v>
      </c>
      <c r="U63" s="157">
        <f t="shared" si="45"/>
        <v>8167.8360000000002</v>
      </c>
      <c r="V63" s="157">
        <f t="shared" si="45"/>
        <v>5097</v>
      </c>
      <c r="W63" s="157">
        <f t="shared" si="45"/>
        <v>5295</v>
      </c>
      <c r="X63" s="157">
        <f t="shared" si="45"/>
        <v>5931.1</v>
      </c>
      <c r="Y63" s="158">
        <f>W34+W22+W8+W12</f>
        <v>6412</v>
      </c>
      <c r="Z63" s="159">
        <f>X34+X8+X12+X22</f>
        <v>7177.4</v>
      </c>
      <c r="AA63" s="159">
        <f>Y34+Y8+Y12+Y22</f>
        <v>8370.2999999999993</v>
      </c>
      <c r="AB63" s="159">
        <f>Z34+Z8+Z12+Z22</f>
        <v>9388.7999999999993</v>
      </c>
      <c r="AC63" s="159">
        <f>AA34+AA8+AA12+AA22</f>
        <v>10856.370467706018</v>
      </c>
      <c r="AD63" s="120"/>
    </row>
    <row r="64" spans="1:35" ht="15.75" thickBot="1" x14ac:dyDescent="0.3"/>
    <row r="65" spans="1:43" x14ac:dyDescent="0.25">
      <c r="Q65" s="191" t="s">
        <v>68</v>
      </c>
      <c r="R65" s="192"/>
      <c r="S65" s="192"/>
      <c r="T65" s="192"/>
      <c r="U65" s="192"/>
      <c r="V65" s="192"/>
      <c r="W65" s="192"/>
      <c r="X65" s="192"/>
      <c r="Y65" s="192"/>
      <c r="Z65" s="192"/>
      <c r="AA65" s="193"/>
      <c r="AB65" s="160"/>
      <c r="AC65" s="161"/>
    </row>
    <row r="66" spans="1:43" x14ac:dyDescent="0.25">
      <c r="Q66" s="103" t="s">
        <v>69</v>
      </c>
      <c r="R66" s="131"/>
      <c r="S66" s="142" t="s">
        <v>2</v>
      </c>
      <c r="T66" s="142" t="s">
        <v>3</v>
      </c>
      <c r="U66" s="162" t="s">
        <v>4</v>
      </c>
      <c r="V66" s="162" t="s">
        <v>5</v>
      </c>
      <c r="W66" s="162" t="s">
        <v>6</v>
      </c>
      <c r="X66" s="162" t="s">
        <v>171</v>
      </c>
      <c r="Y66" s="162" t="s">
        <v>172</v>
      </c>
      <c r="Z66" s="163" t="s">
        <v>182</v>
      </c>
      <c r="AA66" s="164" t="s">
        <v>209</v>
      </c>
      <c r="AB66" s="164" t="s">
        <v>215</v>
      </c>
      <c r="AC66" s="165" t="str">
        <f>AA5</f>
        <v>9M-FY26</v>
      </c>
    </row>
    <row r="67" spans="1:43" x14ac:dyDescent="0.25">
      <c r="A67" s="166" t="s">
        <v>197</v>
      </c>
      <c r="B67" s="120"/>
      <c r="C67" s="120"/>
      <c r="D67" s="120"/>
      <c r="J67" t="s">
        <v>255</v>
      </c>
      <c r="K67" t="s">
        <v>242</v>
      </c>
      <c r="L67" t="s">
        <v>243</v>
      </c>
      <c r="M67" t="s">
        <v>256</v>
      </c>
      <c r="Q67" s="167" t="s">
        <v>70</v>
      </c>
      <c r="R67" s="83"/>
      <c r="S67" s="83">
        <v>38.65</v>
      </c>
      <c r="T67" s="83">
        <v>59.85</v>
      </c>
      <c r="U67" s="83">
        <v>169.9</v>
      </c>
      <c r="V67" s="83">
        <v>421.6</v>
      </c>
      <c r="W67" s="83">
        <v>190.15</v>
      </c>
      <c r="X67" s="83">
        <v>368.75</v>
      </c>
      <c r="Y67" s="83">
        <v>424.95</v>
      </c>
      <c r="Z67" s="118">
        <v>330.85</v>
      </c>
      <c r="AA67" s="83">
        <v>680.65</v>
      </c>
      <c r="AB67" s="168">
        <v>599.20000000000005</v>
      </c>
      <c r="AC67" s="204">
        <v>813.75</v>
      </c>
      <c r="AE67">
        <v>813.75</v>
      </c>
      <c r="AF67" t="s">
        <v>248</v>
      </c>
      <c r="AQ67">
        <f t="shared" ref="AQ67" si="46">AC67-AJ67</f>
        <v>813.75</v>
      </c>
    </row>
    <row r="68" spans="1:43" x14ac:dyDescent="0.25">
      <c r="A68" s="169" t="s">
        <v>199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I68">
        <v>12</v>
      </c>
      <c r="J68">
        <v>3.9</v>
      </c>
      <c r="K68">
        <v>6.1</v>
      </c>
      <c r="L68" s="170">
        <f>108.03/10</f>
        <v>10.803000000000001</v>
      </c>
      <c r="M68" s="170">
        <f>SUM(J68:L68)</f>
        <v>20.803000000000001</v>
      </c>
      <c r="Q68" s="167" t="s">
        <v>71</v>
      </c>
      <c r="R68" s="83"/>
      <c r="S68" s="83" t="e">
        <f>#REF!</f>
        <v>#REF!</v>
      </c>
      <c r="T68" s="83" t="e">
        <f>#REF!</f>
        <v>#REF!</v>
      </c>
      <c r="U68" s="83" t="e">
        <f>#REF!</f>
        <v>#REF!</v>
      </c>
      <c r="V68" s="111">
        <f t="shared" ref="V68:AA68" si="47">B38</f>
        <v>25.88</v>
      </c>
      <c r="W68" s="111">
        <f t="shared" si="47"/>
        <v>24.02</v>
      </c>
      <c r="X68" s="111">
        <f t="shared" si="47"/>
        <v>17.52</v>
      </c>
      <c r="Y68" s="83">
        <f t="shared" si="47"/>
        <v>22.21</v>
      </c>
      <c r="Z68" s="83">
        <f t="shared" si="47"/>
        <v>21.32</v>
      </c>
      <c r="AA68" s="118">
        <f t="shared" si="47"/>
        <v>26.21</v>
      </c>
      <c r="AB68" s="171">
        <f>H38</f>
        <v>36.372599709019205</v>
      </c>
      <c r="AC68" s="205">
        <f>I38+H38-24.43</f>
        <v>43.482599709019205</v>
      </c>
      <c r="AD68" s="172" t="s">
        <v>216</v>
      </c>
    </row>
    <row r="69" spans="1:43" x14ac:dyDescent="0.25">
      <c r="A69" s="169" t="s">
        <v>200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I69">
        <f>0.7+1.3</f>
        <v>2</v>
      </c>
      <c r="J69">
        <v>0</v>
      </c>
      <c r="K69">
        <v>0</v>
      </c>
      <c r="L69">
        <v>2.2999999999999998</v>
      </c>
      <c r="M69" s="170">
        <f>SUM(J69:L69)</f>
        <v>2.2999999999999998</v>
      </c>
      <c r="Q69" s="167" t="s">
        <v>72</v>
      </c>
      <c r="R69" s="83"/>
      <c r="S69" s="111" t="e">
        <f>Q8/(#REF!/1000000)</f>
        <v>#REF!</v>
      </c>
      <c r="T69" s="111" t="e">
        <f>R8/(#REF!/1000000)</f>
        <v>#REF!</v>
      </c>
      <c r="U69" s="111" t="e">
        <f>S8/(#REF!/1000000)</f>
        <v>#REF!</v>
      </c>
      <c r="V69" s="111">
        <f t="shared" ref="V69:AA69" si="48">(T8*1000000)/B59</f>
        <v>177.00035152517367</v>
      </c>
      <c r="W69" s="111">
        <f t="shared" si="48"/>
        <v>185.57629263303673</v>
      </c>
      <c r="X69" s="111">
        <f t="shared" si="48"/>
        <v>199.36852781681648</v>
      </c>
      <c r="Y69" s="111">
        <f t="shared" si="48"/>
        <v>223.32811586043388</v>
      </c>
      <c r="Z69" s="111">
        <f t="shared" si="48"/>
        <v>247.69439801844482</v>
      </c>
      <c r="AA69" s="111">
        <f t="shared" si="48"/>
        <v>275.51315956060063</v>
      </c>
      <c r="AB69" s="111">
        <f>(Z8*1000000)/I59</f>
        <v>314.38339160257993</v>
      </c>
      <c r="AC69" s="173">
        <f>(AA8*1000000)/K59</f>
        <v>365.50276273500731</v>
      </c>
    </row>
    <row r="70" spans="1:43" x14ac:dyDescent="0.25">
      <c r="A70" s="169" t="s">
        <v>201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J70">
        <v>0</v>
      </c>
      <c r="K70">
        <v>0</v>
      </c>
      <c r="L70">
        <v>0</v>
      </c>
      <c r="Q70" s="167" t="s">
        <v>73</v>
      </c>
      <c r="R70" s="83"/>
      <c r="S70" s="111">
        <v>0.20159999999999997</v>
      </c>
      <c r="T70" s="111">
        <v>0.30130000000000001</v>
      </c>
      <c r="U70" s="111">
        <v>0.48840000000000006</v>
      </c>
      <c r="V70" s="111">
        <v>6.5</v>
      </c>
      <c r="W70" s="111">
        <v>10.75</v>
      </c>
      <c r="X70" s="111">
        <v>0</v>
      </c>
      <c r="Y70" s="111">
        <v>12.25</v>
      </c>
      <c r="Z70" s="174">
        <v>9.25</v>
      </c>
      <c r="AA70" s="175">
        <v>10.25</v>
      </c>
      <c r="AB70" s="175">
        <v>12.5</v>
      </c>
      <c r="AC70" s="175">
        <v>15.5</v>
      </c>
      <c r="AD70" s="172" t="s">
        <v>253</v>
      </c>
    </row>
    <row r="71" spans="1:43" x14ac:dyDescent="0.25">
      <c r="A71" s="24" t="s">
        <v>202</v>
      </c>
      <c r="B71" s="93">
        <f>SUM(B68:B70)</f>
        <v>0</v>
      </c>
      <c r="C71" s="93">
        <f t="shared" ref="C71:F71" si="49">SUM(C68:C70)</f>
        <v>0.52</v>
      </c>
      <c r="D71" s="93">
        <f t="shared" si="49"/>
        <v>1.621</v>
      </c>
      <c r="E71" s="93">
        <f t="shared" si="49"/>
        <v>1.0619999999999998</v>
      </c>
      <c r="F71" s="93">
        <f t="shared" si="49"/>
        <v>45.266000000000005</v>
      </c>
      <c r="G71" s="93">
        <f>SUM(G68:G70)</f>
        <v>22.700000000000003</v>
      </c>
      <c r="I71" s="93">
        <f>SUM(I68:I70)</f>
        <v>14</v>
      </c>
      <c r="J71" s="93">
        <f>SUM(J68:J70)</f>
        <v>3.9</v>
      </c>
      <c r="K71" s="93">
        <f>SUM(K68:K70)</f>
        <v>6.1</v>
      </c>
      <c r="L71" s="176">
        <f>SUM(L68:L70)</f>
        <v>13.103000000000002</v>
      </c>
      <c r="M71" s="170">
        <f>SUM(J71:L71)</f>
        <v>23.103000000000002</v>
      </c>
      <c r="N71" s="93"/>
      <c r="O71" s="93"/>
      <c r="Q71" s="167" t="s">
        <v>74</v>
      </c>
      <c r="R71" s="83"/>
      <c r="S71" s="111" t="e">
        <f t="shared" ref="S71:U71" si="50">S67/S68</f>
        <v>#REF!</v>
      </c>
      <c r="T71" s="111" t="e">
        <f t="shared" si="50"/>
        <v>#REF!</v>
      </c>
      <c r="U71" s="111" t="e">
        <f t="shared" si="50"/>
        <v>#REF!</v>
      </c>
      <c r="V71" s="111">
        <f t="shared" ref="V71:Z71" si="51">V67/V68</f>
        <v>16.290571870170016</v>
      </c>
      <c r="W71" s="111">
        <f t="shared" si="51"/>
        <v>7.9163197335553708</v>
      </c>
      <c r="X71" s="111">
        <f t="shared" si="51"/>
        <v>21.047374429223744</v>
      </c>
      <c r="Y71" s="111">
        <f t="shared" si="51"/>
        <v>19.133273300315171</v>
      </c>
      <c r="Z71" s="111">
        <f t="shared" si="51"/>
        <v>15.51829268292683</v>
      </c>
      <c r="AA71" s="174">
        <f>AA67/AA68</f>
        <v>25.969095764975197</v>
      </c>
      <c r="AB71" s="174">
        <f>AB67/AB68</f>
        <v>16.473939305785123</v>
      </c>
      <c r="AC71" s="174">
        <f>AC67/AC68</f>
        <v>18.714382429880594</v>
      </c>
    </row>
    <row r="72" spans="1:43" x14ac:dyDescent="0.25">
      <c r="Q72" s="167" t="s">
        <v>75</v>
      </c>
      <c r="R72" s="83"/>
      <c r="S72" s="111" t="e">
        <f>S67/S69</f>
        <v>#REF!</v>
      </c>
      <c r="T72" s="111" t="e">
        <f t="shared" ref="T72:U72" si="52">T67/T69</f>
        <v>#REF!</v>
      </c>
      <c r="U72" s="111" t="e">
        <f t="shared" si="52"/>
        <v>#REF!</v>
      </c>
      <c r="V72" s="111">
        <f t="shared" ref="V72:AA72" si="53">V67/V69</f>
        <v>2.3819161734265735</v>
      </c>
      <c r="W72" s="111">
        <f t="shared" si="53"/>
        <v>1.0246459679847546</v>
      </c>
      <c r="X72" s="111">
        <f t="shared" si="53"/>
        <v>1.849589822616408</v>
      </c>
      <c r="Y72" s="111">
        <f t="shared" si="53"/>
        <v>1.902805647030879</v>
      </c>
      <c r="Z72" s="111">
        <f t="shared" si="53"/>
        <v>1.335718541262136</v>
      </c>
      <c r="AA72" s="111">
        <f t="shared" si="53"/>
        <v>2.4704809058323303</v>
      </c>
      <c r="AB72" s="111">
        <f t="shared" ref="AB72" si="54">AB67/AB69</f>
        <v>1.9059531005933801</v>
      </c>
      <c r="AC72" s="173">
        <f>AC67/AC69</f>
        <v>2.2263853600197705</v>
      </c>
    </row>
    <row r="73" spans="1:43" x14ac:dyDescent="0.25">
      <c r="A73" s="23"/>
      <c r="Q73" s="167" t="s">
        <v>76</v>
      </c>
      <c r="R73" s="83"/>
      <c r="S73" s="111" t="e">
        <f>#REF!/#REF!</f>
        <v>#REF!</v>
      </c>
      <c r="T73" s="111" t="e">
        <f>#REF!/#REF!</f>
        <v>#REF!</v>
      </c>
      <c r="U73" s="111" t="e">
        <f>#REF!/#REF!</f>
        <v>#REF!</v>
      </c>
      <c r="V73" s="111">
        <f t="shared" ref="V73:AA73" si="55">B63/B18</f>
        <v>12.012468938581607</v>
      </c>
      <c r="W73" s="111">
        <f t="shared" si="55"/>
        <v>7.0661325148799099</v>
      </c>
      <c r="X73" s="111">
        <f t="shared" si="55"/>
        <v>17.292630622777654</v>
      </c>
      <c r="Y73" s="111">
        <f t="shared" si="55"/>
        <v>18.603261019349699</v>
      </c>
      <c r="Z73" s="111">
        <f t="shared" si="55"/>
        <v>13.716631626465054</v>
      </c>
      <c r="AA73" s="111">
        <f t="shared" si="55"/>
        <v>22.907323762012332</v>
      </c>
      <c r="AB73" s="111">
        <f>I63/H18</f>
        <v>14.023646689270313</v>
      </c>
      <c r="AC73" s="173">
        <f>K63/I18</f>
        <v>21.8142718184017</v>
      </c>
    </row>
    <row r="74" spans="1:43" x14ac:dyDescent="0.25">
      <c r="A74" s="169" t="s">
        <v>198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I74">
        <v>0</v>
      </c>
      <c r="J74">
        <v>0</v>
      </c>
      <c r="K74">
        <v>0</v>
      </c>
      <c r="L74">
        <v>0</v>
      </c>
      <c r="Q74" s="177" t="s">
        <v>77</v>
      </c>
      <c r="R74" s="83"/>
      <c r="S74" s="117" t="e">
        <f>#REF!/Q8</f>
        <v>#REF!</v>
      </c>
      <c r="T74" s="117" t="e">
        <f>#REF!/R8</f>
        <v>#REF!</v>
      </c>
      <c r="U74" s="117" t="e">
        <f>#REF!/S8</f>
        <v>#REF!</v>
      </c>
      <c r="V74" s="117">
        <f t="shared" ref="V74:AB74" si="56">B32/T8</f>
        <v>0.14610389610389621</v>
      </c>
      <c r="W74" s="117">
        <f t="shared" si="56"/>
        <v>0.12934730824201995</v>
      </c>
      <c r="X74" s="117">
        <f t="shared" si="56"/>
        <v>8.7804878048780441E-2</v>
      </c>
      <c r="Y74" s="117">
        <f t="shared" si="56"/>
        <v>9.9564528899445739E-2</v>
      </c>
      <c r="Z74" s="117">
        <f t="shared" si="56"/>
        <v>8.6075813820673752E-2</v>
      </c>
      <c r="AA74" s="117">
        <f t="shared" si="56"/>
        <v>9.5146409947854102E-2</v>
      </c>
      <c r="AB74" s="117">
        <f t="shared" si="56"/>
        <v>0.11541381928625648</v>
      </c>
      <c r="AC74" s="178">
        <f>I32/AA8*12/9</f>
        <v>0.11504327530408899</v>
      </c>
    </row>
    <row r="75" spans="1:43" x14ac:dyDescent="0.25">
      <c r="A75" s="24" t="s">
        <v>203</v>
      </c>
      <c r="B75" s="179">
        <f>B74</f>
        <v>11.452999999999999</v>
      </c>
      <c r="C75" s="179">
        <f t="shared" ref="C75:I75" si="57">C74</f>
        <v>2.032</v>
      </c>
      <c r="D75" s="179">
        <f t="shared" si="57"/>
        <v>8.8510000000000009</v>
      </c>
      <c r="E75" s="179">
        <f t="shared" si="57"/>
        <v>0</v>
      </c>
      <c r="F75" s="179">
        <f t="shared" si="57"/>
        <v>7.7249999999999996</v>
      </c>
      <c r="G75" s="179">
        <f t="shared" si="57"/>
        <v>0</v>
      </c>
      <c r="I75" s="179">
        <f t="shared" si="57"/>
        <v>0</v>
      </c>
      <c r="J75" s="179"/>
      <c r="K75" s="179">
        <f t="shared" ref="K75:L75" si="58">K74</f>
        <v>0</v>
      </c>
      <c r="L75" s="179">
        <f t="shared" si="58"/>
        <v>0</v>
      </c>
      <c r="M75" s="179"/>
      <c r="O75" s="179"/>
      <c r="Q75" s="177" t="s">
        <v>78</v>
      </c>
      <c r="R75" s="83"/>
      <c r="S75" s="117" t="e">
        <f>(#REF!-#REF!+#REF!)/Q13</f>
        <v>#REF!</v>
      </c>
      <c r="T75" s="117" t="e">
        <f>(#REF!-#REF!+#REF!)/R13</f>
        <v>#REF!</v>
      </c>
      <c r="U75" s="117" t="e">
        <f>(#REF!-#REF!+#REF!)/S13</f>
        <v>#REF!</v>
      </c>
      <c r="V75" s="117">
        <f>V93</f>
        <v>0.35053074596774214</v>
      </c>
      <c r="W75" s="117">
        <f t="shared" ref="W75:Z75" si="59">W93</f>
        <v>0.21427996066126526</v>
      </c>
      <c r="X75" s="117">
        <f t="shared" si="59"/>
        <v>0.15699999999999992</v>
      </c>
      <c r="Y75" s="117">
        <f t="shared" si="59"/>
        <v>0.13360267160332495</v>
      </c>
      <c r="Z75" s="117">
        <f t="shared" si="59"/>
        <v>0.15129836765345203</v>
      </c>
      <c r="AA75" s="117">
        <f>AA93</f>
        <v>0.20156077254231386</v>
      </c>
      <c r="AB75" s="117">
        <f>AB93</f>
        <v>0.59238914099195883</v>
      </c>
      <c r="AC75" s="178">
        <f>AC93</f>
        <v>0.5998853543164484</v>
      </c>
      <c r="AD75" t="s">
        <v>251</v>
      </c>
    </row>
    <row r="76" spans="1:43" x14ac:dyDescent="0.25">
      <c r="Q76" s="167" t="s">
        <v>79</v>
      </c>
      <c r="R76" s="83"/>
      <c r="S76" s="111">
        <f t="shared" ref="S76:AC76" si="60">Q12/Q8</f>
        <v>0.4281057108860602</v>
      </c>
      <c r="T76" s="111">
        <f t="shared" si="60"/>
        <v>0.27749324737238124</v>
      </c>
      <c r="U76" s="111">
        <f t="shared" si="60"/>
        <v>0.16812522749806946</v>
      </c>
      <c r="V76" s="111">
        <f t="shared" si="60"/>
        <v>0</v>
      </c>
      <c r="W76" s="111">
        <f t="shared" si="60"/>
        <v>0</v>
      </c>
      <c r="X76" s="111">
        <f t="shared" si="60"/>
        <v>0</v>
      </c>
      <c r="Y76" s="111">
        <f t="shared" si="60"/>
        <v>0</v>
      </c>
      <c r="Z76" s="111">
        <f t="shared" si="60"/>
        <v>0</v>
      </c>
      <c r="AA76" s="111">
        <f t="shared" si="60"/>
        <v>0</v>
      </c>
      <c r="AB76" s="111">
        <f t="shared" si="60"/>
        <v>0</v>
      </c>
      <c r="AC76" s="173">
        <f t="shared" si="60"/>
        <v>0</v>
      </c>
    </row>
    <row r="77" spans="1:43" x14ac:dyDescent="0.25">
      <c r="Q77" s="167" t="s">
        <v>80</v>
      </c>
      <c r="R77" s="83"/>
      <c r="S77" s="111">
        <f t="shared" ref="S77:AC77" si="61">(Q12-S54-S55)/Q8</f>
        <v>0.39507646468391111</v>
      </c>
      <c r="T77" s="111">
        <f t="shared" si="61"/>
        <v>0.23986746555418853</v>
      </c>
      <c r="U77" s="111">
        <f t="shared" si="61"/>
        <v>0.13978240259419109</v>
      </c>
      <c r="V77" s="111">
        <f t="shared" si="61"/>
        <v>-3.4465534465534464E-2</v>
      </c>
      <c r="W77" s="111">
        <f t="shared" si="61"/>
        <v>-6.7651262505955212E-2</v>
      </c>
      <c r="X77" s="111">
        <f t="shared" si="61"/>
        <v>-7.2505543237250558E-2</v>
      </c>
      <c r="Y77" s="111">
        <f t="shared" si="61"/>
        <v>-7.244655581947744E-2</v>
      </c>
      <c r="Z77" s="111">
        <f t="shared" si="61"/>
        <v>-4.0726727584237579E-2</v>
      </c>
      <c r="AA77" s="111">
        <f t="shared" si="61"/>
        <v>-3.0340954673084636E-2</v>
      </c>
      <c r="AB77" s="111">
        <f t="shared" si="61"/>
        <v>-3.3254590961500602E-2</v>
      </c>
      <c r="AC77" s="173">
        <f t="shared" si="61"/>
        <v>-1.2021973891112748E-2</v>
      </c>
    </row>
    <row r="78" spans="1:43" x14ac:dyDescent="0.25">
      <c r="Q78" s="167" t="s">
        <v>81</v>
      </c>
      <c r="R78" s="83"/>
      <c r="S78" s="117" t="e">
        <f>S70/S68</f>
        <v>#REF!</v>
      </c>
      <c r="T78" s="117" t="e">
        <f t="shared" ref="T78:U78" si="62">T70/T68</f>
        <v>#REF!</v>
      </c>
      <c r="U78" s="117" t="e">
        <f t="shared" si="62"/>
        <v>#REF!</v>
      </c>
      <c r="V78" s="117">
        <f t="shared" ref="V78:AA78" si="63">V70/V67</f>
        <v>1.5417457305502846E-2</v>
      </c>
      <c r="W78" s="117">
        <f t="shared" si="63"/>
        <v>5.6534315014462266E-2</v>
      </c>
      <c r="X78" s="117">
        <f t="shared" si="63"/>
        <v>0</v>
      </c>
      <c r="Y78" s="117">
        <f t="shared" si="63"/>
        <v>2.8826920814213439E-2</v>
      </c>
      <c r="Z78" s="117">
        <f t="shared" si="63"/>
        <v>2.7958289254949371E-2</v>
      </c>
      <c r="AA78" s="117">
        <f t="shared" si="63"/>
        <v>1.5059134650701536E-2</v>
      </c>
      <c r="AB78" s="117">
        <f t="shared" ref="AB78:AC78" si="64">AB70/AB67</f>
        <v>2.0861148197596793E-2</v>
      </c>
      <c r="AC78" s="117">
        <f t="shared" si="64"/>
        <v>1.9047619047619049E-2</v>
      </c>
      <c r="AF78" s="180">
        <v>45748</v>
      </c>
      <c r="AG78" s="180">
        <v>46022</v>
      </c>
      <c r="AH78">
        <f>AG78-AF78+1</f>
        <v>275</v>
      </c>
    </row>
    <row r="79" spans="1:43" x14ac:dyDescent="0.25">
      <c r="Q79" s="167" t="s">
        <v>82</v>
      </c>
      <c r="R79" s="83"/>
      <c r="S79" s="112" t="e">
        <f>AVERAGE(R53:S53)/#REF!*365</f>
        <v>#REF!</v>
      </c>
      <c r="T79" s="112" t="e">
        <f>AVERAGE(S53:T53)/#REF!*365</f>
        <v>#REF!</v>
      </c>
      <c r="U79" s="112" t="e">
        <f>AVERAGE(T53:U53)/#REF!*365</f>
        <v>#REF!</v>
      </c>
      <c r="V79" s="112">
        <f t="shared" ref="V79:AA79" si="65">AVERAGE(U53:V53)/B6*365</f>
        <v>95.17944878141661</v>
      </c>
      <c r="W79" s="112">
        <f t="shared" si="65"/>
        <v>73.221073517126143</v>
      </c>
      <c r="X79" s="112">
        <f t="shared" si="65"/>
        <v>74.903886118038244</v>
      </c>
      <c r="Y79" s="112">
        <f t="shared" si="65"/>
        <v>73.315822002472189</v>
      </c>
      <c r="Z79" s="112">
        <f t="shared" si="65"/>
        <v>66.06708571428571</v>
      </c>
      <c r="AA79" s="112">
        <f t="shared" si="65"/>
        <v>65.838926637940546</v>
      </c>
      <c r="AB79" s="112">
        <f>AVERAGE(AA53:AB53)/H6*365</f>
        <v>67.268562906146798</v>
      </c>
      <c r="AC79" s="112">
        <f>AVERAGE(AC53:AC53)/I6*275</f>
        <v>71.129814569191964</v>
      </c>
      <c r="AD79" t="s">
        <v>252</v>
      </c>
    </row>
    <row r="80" spans="1:43" x14ac:dyDescent="0.25">
      <c r="Q80" s="167" t="s">
        <v>83</v>
      </c>
      <c r="R80" s="83"/>
      <c r="S80" s="112" t="e">
        <f>AVERAGE(P26:Q26)/#REF!*365</f>
        <v>#REF!</v>
      </c>
      <c r="T80" s="112" t="e">
        <f>AVERAGE(Q26:R26)/#REF!*365</f>
        <v>#REF!</v>
      </c>
      <c r="U80" s="112" t="e">
        <f>AVERAGE(R26:S26)/#REF!*365</f>
        <v>#REF!</v>
      </c>
      <c r="V80" s="112">
        <f t="shared" ref="V80:AB80" si="66">AVERAGE(S26:T26)/SUM(B12:B13)*365</f>
        <v>165.8672283085013</v>
      </c>
      <c r="W80" s="112">
        <f t="shared" si="66"/>
        <v>87.853165765192486</v>
      </c>
      <c r="X80" s="112">
        <f t="shared" si="66"/>
        <v>94.018541219736434</v>
      </c>
      <c r="Y80" s="112">
        <f t="shared" si="66"/>
        <v>83.668806646525681</v>
      </c>
      <c r="Z80" s="112">
        <f t="shared" si="66"/>
        <v>74.010410976862048</v>
      </c>
      <c r="AA80" s="112">
        <f t="shared" si="66"/>
        <v>85.328278786908839</v>
      </c>
      <c r="AB80" s="112">
        <f t="shared" si="66"/>
        <v>87.901361662370036</v>
      </c>
      <c r="AC80" s="112">
        <f>AVERAGE(AA26:AA26)/SUM(I12:I13)*275</f>
        <v>81.625984471876237</v>
      </c>
      <c r="AD80" t="s">
        <v>252</v>
      </c>
    </row>
    <row r="81" spans="17:41" x14ac:dyDescent="0.25">
      <c r="Q81" s="167" t="s">
        <v>84</v>
      </c>
      <c r="R81" s="83"/>
      <c r="S81" s="112" t="e">
        <f>AVERAGE(R50:S50)/#REF!*365</f>
        <v>#REF!</v>
      </c>
      <c r="T81" s="112" t="e">
        <f>AVERAGE(S50:T50)/#REF!*365</f>
        <v>#REF!</v>
      </c>
      <c r="U81" s="112" t="e">
        <f>AVERAGE(T50:U50)/#REF!*365</f>
        <v>#REF!</v>
      </c>
      <c r="V81" s="112">
        <f t="shared" ref="V81:AA81" si="67">AVERAGE(U50:V50)/SUM(B12:B14)*365</f>
        <v>95.894245904037447</v>
      </c>
      <c r="W81" s="112">
        <f t="shared" si="67"/>
        <v>42.927527018436109</v>
      </c>
      <c r="X81" s="112">
        <f t="shared" si="67"/>
        <v>46.326923076923073</v>
      </c>
      <c r="Y81" s="112">
        <f t="shared" si="67"/>
        <v>43.109509357612545</v>
      </c>
      <c r="Z81" s="112">
        <f t="shared" si="67"/>
        <v>42.427666175273373</v>
      </c>
      <c r="AA81" s="112">
        <f t="shared" si="67"/>
        <v>45.75195683942907</v>
      </c>
      <c r="AB81" s="112">
        <f>AVERAGE(AA50:AB50)/SUM(H12:H14)*365</f>
        <v>44.975247956213295</v>
      </c>
      <c r="AC81" s="15">
        <f>AVERAGE(AC50:AC50)/SUM(I12:I14)*275</f>
        <v>53.545011981810298</v>
      </c>
      <c r="AD81" t="s">
        <v>252</v>
      </c>
    </row>
    <row r="82" spans="17:41" x14ac:dyDescent="0.25">
      <c r="Q82" s="167" t="s">
        <v>85</v>
      </c>
      <c r="R82" s="83"/>
      <c r="S82" s="181" t="e">
        <f t="shared" ref="S82:U82" si="68">(S81+S79-S80)</f>
        <v>#REF!</v>
      </c>
      <c r="T82" s="181" t="e">
        <f t="shared" si="68"/>
        <v>#REF!</v>
      </c>
      <c r="U82" s="181" t="e">
        <f t="shared" si="68"/>
        <v>#REF!</v>
      </c>
      <c r="V82" s="181">
        <f>(V81+V79-V80)</f>
        <v>25.206466376952761</v>
      </c>
      <c r="W82" s="181">
        <f t="shared" ref="W82:Y82" si="69">(W81+W79-W80)</f>
        <v>28.295434770369766</v>
      </c>
      <c r="X82" s="181">
        <f t="shared" si="69"/>
        <v>27.21226797522489</v>
      </c>
      <c r="Y82" s="181">
        <f t="shared" si="69"/>
        <v>32.756524713559045</v>
      </c>
      <c r="Z82" s="181">
        <f>(Z81+Z79-Z80)</f>
        <v>34.484340912697036</v>
      </c>
      <c r="AA82" s="181">
        <f>(AA81+AA79-AA80)</f>
        <v>26.262604690460776</v>
      </c>
      <c r="AB82" s="181">
        <f>(AB81+AB79-AB80)</f>
        <v>24.342449199990057</v>
      </c>
      <c r="AC82" s="181">
        <f>(AC81+AC79-AC80)</f>
        <v>43.048842079126032</v>
      </c>
    </row>
    <row r="83" spans="17:41" x14ac:dyDescent="0.25">
      <c r="Q83" s="167" t="s">
        <v>86</v>
      </c>
      <c r="R83" s="83"/>
      <c r="S83" s="112" t="e">
        <f>AVERAGE(R61:S61)/#REF!*365</f>
        <v>#REF!</v>
      </c>
      <c r="T83" s="112" t="e">
        <f>AVERAGE(S61:T61)/#REF!*365</f>
        <v>#REF!</v>
      </c>
      <c r="U83" s="112" t="e">
        <f>AVERAGE(T61:U61)/#REF!*365</f>
        <v>#REF!</v>
      </c>
      <c r="V83" s="112">
        <f>(V61)/B6*365</f>
        <v>41.837395277989337</v>
      </c>
      <c r="W83" s="112">
        <f t="shared" ref="W83:AB83" si="70">AVERAGE(V61:W61)/C6*365</f>
        <v>50.465747702589802</v>
      </c>
      <c r="X83" s="112">
        <f t="shared" si="70"/>
        <v>57.306213632585205</v>
      </c>
      <c r="Y83" s="112">
        <f t="shared" si="70"/>
        <v>61.649743951968922</v>
      </c>
      <c r="Z83" s="112">
        <f t="shared" si="70"/>
        <v>56.837104761904783</v>
      </c>
      <c r="AA83" s="112">
        <f t="shared" si="70"/>
        <v>42.466889017788112</v>
      </c>
      <c r="AB83" s="112">
        <f t="shared" si="70"/>
        <v>40.02846726560373</v>
      </c>
      <c r="AC83" s="112">
        <f>AVERAGE(AC61:AC61)/I6*275</f>
        <v>45.587276775642472</v>
      </c>
      <c r="AD83" t="s">
        <v>252</v>
      </c>
    </row>
    <row r="84" spans="17:41" ht="15.75" thickBot="1" x14ac:dyDescent="0.3">
      <c r="Q84" s="182" t="s">
        <v>87</v>
      </c>
      <c r="R84" s="183"/>
      <c r="S84" s="184" t="e">
        <f>#REF!/Q12</f>
        <v>#REF!</v>
      </c>
      <c r="T84" s="184" t="e">
        <f>#REF!/R12</f>
        <v>#REF!</v>
      </c>
      <c r="U84" s="184" t="e">
        <f>#REF!/S12</f>
        <v>#REF!</v>
      </c>
      <c r="V84" s="184">
        <v>0</v>
      </c>
      <c r="W84" s="184">
        <v>0</v>
      </c>
      <c r="X84" s="184">
        <v>0</v>
      </c>
      <c r="Y84" s="184">
        <v>0</v>
      </c>
      <c r="Z84" s="184">
        <v>0</v>
      </c>
      <c r="AA84" s="184">
        <v>0</v>
      </c>
      <c r="AB84" s="184">
        <v>0</v>
      </c>
      <c r="AC84" s="184">
        <v>0</v>
      </c>
    </row>
    <row r="86" spans="17:41" x14ac:dyDescent="0.25">
      <c r="Q86" t="s">
        <v>204</v>
      </c>
    </row>
    <row r="87" spans="17:41" x14ac:dyDescent="0.25">
      <c r="Q87" t="s">
        <v>205</v>
      </c>
      <c r="V87" s="120">
        <f>V48-V43</f>
        <v>1382</v>
      </c>
      <c r="W87" s="120">
        <f t="shared" ref="W87:AA87" si="71">W48-W43</f>
        <v>1413.3000000000002</v>
      </c>
      <c r="X87" s="120">
        <f t="shared" si="71"/>
        <v>1506.9999999999995</v>
      </c>
      <c r="Y87" s="120">
        <f t="shared" si="71"/>
        <v>1630.9</v>
      </c>
      <c r="Z87" s="120">
        <f t="shared" si="71"/>
        <v>1610.3000000000002</v>
      </c>
      <c r="AA87" s="120">
        <f t="shared" si="71"/>
        <v>1780.0380917500006</v>
      </c>
      <c r="AB87" s="120">
        <f t="shared" ref="AB87:AC87" si="72">AB48-AB43</f>
        <v>168.19999999999936</v>
      </c>
      <c r="AC87" s="120">
        <f t="shared" si="72"/>
        <v>302.59999999999945</v>
      </c>
      <c r="AD87" s="120">
        <v>855</v>
      </c>
      <c r="AE87" s="120">
        <v>1004.3000000000002</v>
      </c>
      <c r="AF87" s="120">
        <v>1291.4999999999995</v>
      </c>
      <c r="AG87" s="120">
        <v>1419</v>
      </c>
      <c r="AH87" s="120">
        <v>1494</v>
      </c>
      <c r="AI87" s="120">
        <v>1545</v>
      </c>
      <c r="AJ87" s="120"/>
      <c r="AK87">
        <f t="shared" ref="AK87:AK94" si="73">V87-AD87</f>
        <v>527</v>
      </c>
      <c r="AL87">
        <f t="shared" ref="AL87:AL94" si="74">W87-AE87</f>
        <v>409</v>
      </c>
      <c r="AM87">
        <f t="shared" ref="AM87:AM94" si="75">X87-AF87</f>
        <v>215.5</v>
      </c>
      <c r="AN87">
        <f t="shared" ref="AN87:AN94" si="76">Y87-AG87</f>
        <v>211.90000000000009</v>
      </c>
      <c r="AO87">
        <f t="shared" ref="AO87:AO94" si="77">Z87-AH87</f>
        <v>116.30000000000018</v>
      </c>
    </row>
    <row r="88" spans="17:41" x14ac:dyDescent="0.25">
      <c r="Q88" t="s">
        <v>206</v>
      </c>
      <c r="V88" s="120">
        <f t="shared" ref="V88:AA88" si="78">V60</f>
        <v>1634</v>
      </c>
      <c r="W88" s="120">
        <f t="shared" si="78"/>
        <v>1673</v>
      </c>
      <c r="X88" s="120">
        <f t="shared" si="78"/>
        <v>2032</v>
      </c>
      <c r="Y88" s="120">
        <f t="shared" si="78"/>
        <v>2210</v>
      </c>
      <c r="Z88" s="120">
        <f t="shared" si="78"/>
        <v>2134.0000000000009</v>
      </c>
      <c r="AA88" s="120">
        <f t="shared" si="78"/>
        <v>2468.5</v>
      </c>
      <c r="AB88" s="120">
        <f t="shared" ref="AB88:AC88" si="79">AB60</f>
        <v>2922.3999999999996</v>
      </c>
      <c r="AC88" s="120">
        <f t="shared" si="79"/>
        <v>3294.9000000000005</v>
      </c>
      <c r="AD88" s="120">
        <v>286</v>
      </c>
      <c r="AE88" s="120">
        <v>242</v>
      </c>
      <c r="AF88" s="120">
        <v>707</v>
      </c>
      <c r="AG88" s="120">
        <v>883</v>
      </c>
      <c r="AH88" s="120">
        <v>611</v>
      </c>
      <c r="AI88" s="120">
        <v>532</v>
      </c>
      <c r="AJ88" s="120"/>
      <c r="AK88">
        <f t="shared" si="73"/>
        <v>1348</v>
      </c>
      <c r="AL88">
        <f t="shared" si="74"/>
        <v>1431</v>
      </c>
      <c r="AM88">
        <f t="shared" si="75"/>
        <v>1325</v>
      </c>
      <c r="AN88">
        <f t="shared" si="76"/>
        <v>1327</v>
      </c>
      <c r="AO88">
        <f t="shared" si="77"/>
        <v>1523.0000000000009</v>
      </c>
    </row>
    <row r="89" spans="17:41" x14ac:dyDescent="0.25">
      <c r="Q89" t="s">
        <v>207</v>
      </c>
      <c r="V89" s="120">
        <f t="shared" ref="V89:AC89" si="80">T34</f>
        <v>1032</v>
      </c>
      <c r="W89" s="120">
        <f t="shared" si="80"/>
        <v>951</v>
      </c>
      <c r="X89" s="120">
        <f t="shared" si="80"/>
        <v>1243</v>
      </c>
      <c r="Y89" s="120">
        <f t="shared" si="80"/>
        <v>1086</v>
      </c>
      <c r="Z89" s="120">
        <f t="shared" si="80"/>
        <v>1214.2</v>
      </c>
      <c r="AA89" s="120">
        <f t="shared" si="80"/>
        <v>1703.3999999999999</v>
      </c>
      <c r="AB89" s="120">
        <f t="shared" si="80"/>
        <v>1834.5</v>
      </c>
      <c r="AC89" s="120">
        <f t="shared" si="80"/>
        <v>2020.0808150543796</v>
      </c>
      <c r="AD89" s="120">
        <v>1032</v>
      </c>
      <c r="AE89" s="120">
        <v>951</v>
      </c>
      <c r="AF89" s="120">
        <v>1243</v>
      </c>
      <c r="AG89" s="120">
        <v>1086</v>
      </c>
      <c r="AH89" s="120">
        <v>1215</v>
      </c>
      <c r="AI89" s="120">
        <v>1521</v>
      </c>
      <c r="AJ89" s="120"/>
      <c r="AK89">
        <f t="shared" si="73"/>
        <v>0</v>
      </c>
      <c r="AL89">
        <f t="shared" si="74"/>
        <v>0</v>
      </c>
      <c r="AM89">
        <f t="shared" si="75"/>
        <v>0</v>
      </c>
      <c r="AN89">
        <f t="shared" si="76"/>
        <v>0</v>
      </c>
      <c r="AO89">
        <f t="shared" si="77"/>
        <v>-0.79999999999995453</v>
      </c>
    </row>
    <row r="90" spans="17:41" x14ac:dyDescent="0.25">
      <c r="Q90" t="s">
        <v>208</v>
      </c>
      <c r="V90" s="120">
        <f t="shared" ref="V90:AB90" si="81">T11</f>
        <v>0</v>
      </c>
      <c r="W90" s="120">
        <f t="shared" si="81"/>
        <v>0</v>
      </c>
      <c r="X90" s="120">
        <f t="shared" si="81"/>
        <v>0</v>
      </c>
      <c r="Y90" s="120">
        <f t="shared" si="81"/>
        <v>0</v>
      </c>
      <c r="Z90" s="120">
        <f t="shared" si="81"/>
        <v>0</v>
      </c>
      <c r="AA90" s="120">
        <f t="shared" si="81"/>
        <v>0</v>
      </c>
      <c r="AB90" s="120">
        <f t="shared" si="81"/>
        <v>0</v>
      </c>
      <c r="AD90" s="120">
        <v>0</v>
      </c>
      <c r="AE90" s="120">
        <v>0</v>
      </c>
      <c r="AF90" s="120">
        <v>0</v>
      </c>
      <c r="AG90" s="120">
        <v>0</v>
      </c>
      <c r="AH90" s="120">
        <v>0</v>
      </c>
      <c r="AI90" s="120">
        <v>0</v>
      </c>
      <c r="AJ90" s="120"/>
      <c r="AK90">
        <f t="shared" si="73"/>
        <v>0</v>
      </c>
      <c r="AL90">
        <f t="shared" si="74"/>
        <v>0</v>
      </c>
      <c r="AM90">
        <f t="shared" si="75"/>
        <v>0</v>
      </c>
      <c r="AN90">
        <f t="shared" si="76"/>
        <v>0</v>
      </c>
      <c r="AO90">
        <f t="shared" si="77"/>
        <v>0</v>
      </c>
    </row>
    <row r="91" spans="17:41" x14ac:dyDescent="0.25">
      <c r="Q91" s="185" t="s">
        <v>204</v>
      </c>
      <c r="R91" s="185"/>
      <c r="S91" s="185"/>
      <c r="T91" s="185"/>
      <c r="U91" s="185"/>
      <c r="V91" s="186">
        <f>V87+V88-V89-V90</f>
        <v>1984</v>
      </c>
      <c r="W91" s="186">
        <f t="shared" ref="W91:AA91" si="82">W87+W88-W89-W90</f>
        <v>2135.3000000000002</v>
      </c>
      <c r="X91" s="186">
        <f t="shared" si="82"/>
        <v>2295.9999999999995</v>
      </c>
      <c r="Y91" s="186">
        <f t="shared" si="82"/>
        <v>2754.9</v>
      </c>
      <c r="Z91" s="186">
        <f t="shared" si="82"/>
        <v>2530.1000000000013</v>
      </c>
      <c r="AA91" s="186">
        <f t="shared" si="82"/>
        <v>2545.138091750001</v>
      </c>
      <c r="AB91" s="186">
        <f t="shared" ref="AB91:AC91" si="83">AB87+AB88-AB89-AB90</f>
        <v>1256.099999999999</v>
      </c>
      <c r="AC91" s="186">
        <f t="shared" si="83"/>
        <v>1577.4191849456204</v>
      </c>
      <c r="AD91" s="186">
        <v>109</v>
      </c>
      <c r="AE91" s="186">
        <v>295.30000000000018</v>
      </c>
      <c r="AF91" s="186">
        <v>755.49999999999955</v>
      </c>
      <c r="AG91" s="186">
        <v>1216</v>
      </c>
      <c r="AH91" s="186">
        <v>890</v>
      </c>
      <c r="AI91" s="186">
        <v>556</v>
      </c>
      <c r="AJ91" s="186"/>
      <c r="AK91">
        <f t="shared" si="73"/>
        <v>1875</v>
      </c>
      <c r="AL91">
        <f t="shared" si="74"/>
        <v>1840</v>
      </c>
      <c r="AM91">
        <f t="shared" si="75"/>
        <v>1540.5</v>
      </c>
      <c r="AN91">
        <f t="shared" si="76"/>
        <v>1538.9</v>
      </c>
      <c r="AO91">
        <f t="shared" si="77"/>
        <v>1640.1000000000013</v>
      </c>
    </row>
    <row r="92" spans="17:41" x14ac:dyDescent="0.25">
      <c r="Q92" t="s">
        <v>210</v>
      </c>
      <c r="V92" s="120">
        <f t="shared" ref="V92:AA92" si="84">B32+B26+B23-B7</f>
        <v>695.45300000000043</v>
      </c>
      <c r="W92" s="120">
        <f t="shared" si="84"/>
        <v>457.55199999999974</v>
      </c>
      <c r="X92" s="120">
        <f t="shared" si="84"/>
        <v>360.47199999999975</v>
      </c>
      <c r="Y92" s="120">
        <f t="shared" si="84"/>
        <v>368.0619999999999</v>
      </c>
      <c r="Z92" s="120">
        <f t="shared" si="84"/>
        <v>382.79999999999916</v>
      </c>
      <c r="AA92" s="120">
        <f t="shared" si="84"/>
        <v>513.00000000000068</v>
      </c>
      <c r="AB92" s="120">
        <f>H32+H26+H23-H7</f>
        <v>744.09999999999889</v>
      </c>
      <c r="AC92" s="187">
        <f>(I32+I26+I23-I7)*12/9</f>
        <v>946.27066666666667</v>
      </c>
      <c r="AD92" s="120">
        <v>704.45300000000043</v>
      </c>
      <c r="AE92" s="120">
        <v>468.55199999999968</v>
      </c>
      <c r="AF92" s="120">
        <v>354.47199999999975</v>
      </c>
      <c r="AG92" s="120">
        <v>363.0619999999999</v>
      </c>
      <c r="AH92" s="120">
        <v>428.17100000000028</v>
      </c>
      <c r="AI92" s="120">
        <v>231.5</v>
      </c>
      <c r="AJ92" s="120"/>
      <c r="AK92">
        <f t="shared" si="73"/>
        <v>-9</v>
      </c>
      <c r="AL92">
        <f t="shared" si="74"/>
        <v>-10.999999999999943</v>
      </c>
      <c r="AM92">
        <f t="shared" si="75"/>
        <v>6</v>
      </c>
      <c r="AN92">
        <f t="shared" si="76"/>
        <v>5</v>
      </c>
      <c r="AO92">
        <f t="shared" si="77"/>
        <v>-45.371000000001118</v>
      </c>
    </row>
    <row r="93" spans="17:41" x14ac:dyDescent="0.25">
      <c r="Q93" s="185" t="s">
        <v>126</v>
      </c>
      <c r="R93" s="185"/>
      <c r="S93" s="185"/>
      <c r="T93" s="185"/>
      <c r="U93" s="185"/>
      <c r="V93" s="188">
        <f>V92/V91</f>
        <v>0.35053074596774214</v>
      </c>
      <c r="W93" s="188">
        <f t="shared" ref="W93:Z93" si="85">W92/W91</f>
        <v>0.21427996066126526</v>
      </c>
      <c r="X93" s="188">
        <f t="shared" si="85"/>
        <v>0.15699999999999992</v>
      </c>
      <c r="Y93" s="188">
        <f t="shared" si="85"/>
        <v>0.13360267160332495</v>
      </c>
      <c r="Z93" s="188">
        <f t="shared" si="85"/>
        <v>0.15129836765345203</v>
      </c>
      <c r="AA93" s="188">
        <f>AA92/AA91</f>
        <v>0.20156077254231386</v>
      </c>
      <c r="AB93" s="189">
        <f>AB92/AB91</f>
        <v>0.59238914099195883</v>
      </c>
      <c r="AC93" s="189">
        <f>AC92/AC91</f>
        <v>0.5998853543164484</v>
      </c>
      <c r="AD93">
        <v>6.4628715596330313</v>
      </c>
      <c r="AE93">
        <v>1.5866982729427681</v>
      </c>
      <c r="AF93">
        <v>0.46918861681005952</v>
      </c>
      <c r="AG93">
        <v>0.29857072368421045</v>
      </c>
      <c r="AH93">
        <v>0.48109101123595538</v>
      </c>
      <c r="AI93">
        <v>0.41636690647482016</v>
      </c>
      <c r="AK93">
        <f t="shared" si="73"/>
        <v>-6.1123408136652895</v>
      </c>
      <c r="AL93">
        <f t="shared" si="74"/>
        <v>-1.3724183122815028</v>
      </c>
      <c r="AM93">
        <f t="shared" si="75"/>
        <v>-0.3121886168100596</v>
      </c>
      <c r="AN93">
        <f t="shared" si="76"/>
        <v>-0.1649680520808855</v>
      </c>
      <c r="AO93">
        <f t="shared" si="77"/>
        <v>-0.32979264358250338</v>
      </c>
    </row>
    <row r="94" spans="17:41" x14ac:dyDescent="0.25">
      <c r="Q94" s="185" t="s">
        <v>125</v>
      </c>
      <c r="R94" s="185"/>
      <c r="S94" s="185"/>
      <c r="T94" s="185"/>
      <c r="U94" s="185"/>
      <c r="V94" s="188">
        <f t="shared" ref="V94:AB94" si="86">B32/T8</f>
        <v>0.14610389610389621</v>
      </c>
      <c r="W94" s="188">
        <f t="shared" si="86"/>
        <v>0.12934730824201995</v>
      </c>
      <c r="X94" s="188">
        <f t="shared" si="86"/>
        <v>8.7804878048780441E-2</v>
      </c>
      <c r="Y94" s="188">
        <f t="shared" si="86"/>
        <v>9.9564528899445739E-2</v>
      </c>
      <c r="Z94" s="188">
        <f t="shared" si="86"/>
        <v>8.6075813820673752E-2</v>
      </c>
      <c r="AA94" s="188">
        <f t="shared" si="86"/>
        <v>9.5146409947854102E-2</v>
      </c>
      <c r="AB94" s="189">
        <f t="shared" si="86"/>
        <v>0.11541381928625648</v>
      </c>
      <c r="AC94" s="189">
        <f>I32*12/9/AA8</f>
        <v>0.11504327530408899</v>
      </c>
      <c r="AD94">
        <v>0.14610389610389621</v>
      </c>
      <c r="AE94">
        <v>0.12934730824201995</v>
      </c>
      <c r="AF94">
        <v>8.7804878048780441E-2</v>
      </c>
      <c r="AG94">
        <v>9.9564528899445739E-2</v>
      </c>
      <c r="AH94">
        <v>8.6025343565946849E-2</v>
      </c>
      <c r="AI94">
        <v>4.4811722610325441E-2</v>
      </c>
      <c r="AK94">
        <f t="shared" si="73"/>
        <v>0</v>
      </c>
      <c r="AL94">
        <f t="shared" si="74"/>
        <v>0</v>
      </c>
      <c r="AM94">
        <f t="shared" si="75"/>
        <v>0</v>
      </c>
      <c r="AN94">
        <f t="shared" si="76"/>
        <v>0</v>
      </c>
      <c r="AO94">
        <f t="shared" si="77"/>
        <v>5.0470254726903141E-5</v>
      </c>
    </row>
    <row r="96" spans="17:41" x14ac:dyDescent="0.25">
      <c r="V96" s="190"/>
      <c r="W96" s="190"/>
      <c r="X96" s="190"/>
      <c r="Y96" s="190"/>
      <c r="Z96" s="190"/>
      <c r="AA96" s="190"/>
      <c r="AB96" s="190"/>
    </row>
    <row r="97" spans="22:28" x14ac:dyDescent="0.25">
      <c r="V97" s="190"/>
      <c r="W97" s="190"/>
      <c r="X97" s="190"/>
      <c r="Y97" s="190"/>
      <c r="Z97" s="190"/>
      <c r="AA97" s="190"/>
      <c r="AB97" s="190"/>
    </row>
  </sheetData>
  <mergeCells count="5">
    <mergeCell ref="Q65:AA65"/>
    <mergeCell ref="A2:Z2"/>
    <mergeCell ref="A43:H43"/>
    <mergeCell ref="A4:M4"/>
    <mergeCell ref="Q4:AB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G3" sqref="G3"/>
    </sheetView>
  </sheetViews>
  <sheetFormatPr defaultColWidth="8.7109375" defaultRowHeight="15.75" x14ac:dyDescent="0.25"/>
  <cols>
    <col min="1" max="2" width="8.7109375" style="29"/>
    <col min="3" max="3" width="61.5703125" style="29" bestFit="1" customWidth="1"/>
    <col min="4" max="4" width="6.140625" style="29" bestFit="1" customWidth="1"/>
    <col min="5" max="5" width="70.140625" style="29" bestFit="1" customWidth="1"/>
    <col min="6" max="16384" width="8.7109375" style="29"/>
  </cols>
  <sheetData>
    <row r="1" spans="1:5" ht="27.95" customHeight="1" x14ac:dyDescent="0.25">
      <c r="C1" s="28" t="s">
        <v>212</v>
      </c>
      <c r="E1" s="28" t="s">
        <v>213</v>
      </c>
    </row>
    <row r="2" spans="1:5" x14ac:dyDescent="0.25">
      <c r="A2" s="29" t="s">
        <v>234</v>
      </c>
      <c r="B2" s="30">
        <v>1</v>
      </c>
      <c r="C2" s="30" t="s">
        <v>233</v>
      </c>
      <c r="D2" s="32">
        <v>1</v>
      </c>
      <c r="E2" s="41" t="s">
        <v>239</v>
      </c>
    </row>
    <row r="3" spans="1:5" ht="47.25" x14ac:dyDescent="0.25">
      <c r="B3" s="30">
        <v>2</v>
      </c>
      <c r="C3" s="30" t="s">
        <v>230</v>
      </c>
      <c r="D3" s="32">
        <v>2</v>
      </c>
      <c r="E3" s="42" t="s">
        <v>221</v>
      </c>
    </row>
    <row r="4" spans="1:5" x14ac:dyDescent="0.25">
      <c r="B4" s="30">
        <v>3</v>
      </c>
      <c r="C4" s="30" t="s">
        <v>231</v>
      </c>
      <c r="D4" s="32">
        <v>3</v>
      </c>
      <c r="E4" s="42" t="s">
        <v>222</v>
      </c>
    </row>
    <row r="5" spans="1:5" x14ac:dyDescent="0.25">
      <c r="B5" s="30">
        <v>4</v>
      </c>
      <c r="C5" s="30" t="s">
        <v>232</v>
      </c>
      <c r="D5" s="32">
        <v>4</v>
      </c>
      <c r="E5" s="41" t="s">
        <v>223</v>
      </c>
    </row>
    <row r="6" spans="1:5" x14ac:dyDescent="0.25">
      <c r="B6" s="30">
        <v>5</v>
      </c>
      <c r="C6" s="30" t="s">
        <v>229</v>
      </c>
      <c r="D6" s="32">
        <v>5</v>
      </c>
      <c r="E6" s="41" t="s">
        <v>224</v>
      </c>
    </row>
    <row r="7" spans="1:5" ht="31.5" customHeight="1" x14ac:dyDescent="0.25">
      <c r="B7" s="30">
        <v>6</v>
      </c>
      <c r="C7" s="33" t="s">
        <v>236</v>
      </c>
      <c r="D7" s="32">
        <v>6</v>
      </c>
      <c r="E7" s="44" t="s">
        <v>240</v>
      </c>
    </row>
    <row r="8" spans="1:5" x14ac:dyDescent="0.25">
      <c r="B8" s="30">
        <v>7</v>
      </c>
      <c r="C8" s="33" t="s">
        <v>235</v>
      </c>
      <c r="D8" s="32">
        <v>7</v>
      </c>
      <c r="E8" s="40" t="s">
        <v>225</v>
      </c>
    </row>
    <row r="9" spans="1:5" x14ac:dyDescent="0.25">
      <c r="B9" s="30">
        <v>8</v>
      </c>
      <c r="C9" s="33" t="s">
        <v>220</v>
      </c>
      <c r="D9" s="29">
        <v>8</v>
      </c>
      <c r="E9" s="45" t="s">
        <v>226</v>
      </c>
    </row>
    <row r="10" spans="1:5" x14ac:dyDescent="0.25">
      <c r="B10" s="30"/>
      <c r="C10" s="33"/>
      <c r="D10" s="29">
        <v>9</v>
      </c>
      <c r="E10" s="40" t="s">
        <v>241</v>
      </c>
    </row>
    <row r="11" spans="1:5" x14ac:dyDescent="0.25">
      <c r="C11" s="31"/>
      <c r="D11" s="29">
        <v>10</v>
      </c>
      <c r="E11" s="43" t="s">
        <v>227</v>
      </c>
    </row>
    <row r="12" spans="1:5" ht="31.5" x14ac:dyDescent="0.25">
      <c r="E12" s="40" t="s">
        <v>228</v>
      </c>
    </row>
    <row r="13" spans="1:5" x14ac:dyDescent="0.25">
      <c r="D13" s="29">
        <v>11</v>
      </c>
      <c r="E13" s="29" t="s">
        <v>237</v>
      </c>
    </row>
    <row r="14" spans="1:5" x14ac:dyDescent="0.25">
      <c r="D14" s="29">
        <v>12</v>
      </c>
      <c r="E14" s="29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109375" defaultRowHeight="15" x14ac:dyDescent="0.25"/>
  <cols>
    <col min="1" max="1" width="20.42578125" bestFit="1" customWidth="1"/>
    <col min="4" max="4" width="10.28515625" bestFit="1" customWidth="1"/>
    <col min="8" max="8" width="20.28515625" bestFit="1" customWidth="1"/>
    <col min="11" max="11" width="12" bestFit="1" customWidth="1"/>
  </cols>
  <sheetData>
    <row r="3" spans="1:13" ht="15.75" thickBot="1" x14ac:dyDescent="0.3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 x14ac:dyDescent="0.25">
      <c r="A4" s="11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7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 x14ac:dyDescent="0.25">
      <c r="A5" s="8" t="s">
        <v>162</v>
      </c>
      <c r="B5" s="2">
        <f>'Summary Sheet'!C6</f>
        <v>4788</v>
      </c>
      <c r="C5">
        <v>58100.9</v>
      </c>
      <c r="D5">
        <f>5436762300/10^6</f>
        <v>5436.7623000000003</v>
      </c>
      <c r="H5" s="8" t="s">
        <v>142</v>
      </c>
      <c r="I5">
        <f>'Summary Sheet'!U8</f>
        <v>4198</v>
      </c>
      <c r="J5">
        <v>31174</v>
      </c>
      <c r="K5">
        <f>5769088987/10^6</f>
        <v>5769.0889870000001</v>
      </c>
    </row>
    <row r="6" spans="1:13" x14ac:dyDescent="0.25">
      <c r="A6" s="8" t="s">
        <v>163</v>
      </c>
      <c r="B6" s="2" t="e">
        <f>'Summary Sheet'!#REF!</f>
        <v>#REF!</v>
      </c>
      <c r="C6">
        <v>42197.599999999999</v>
      </c>
      <c r="D6">
        <f>1265968804/10^6</f>
        <v>1265.9688040000001</v>
      </c>
      <c r="H6" s="8" t="s">
        <v>64</v>
      </c>
      <c r="I6">
        <f>'Summary Sheet'!U10</f>
        <v>0</v>
      </c>
      <c r="J6">
        <v>217.8</v>
      </c>
    </row>
    <row r="7" spans="1:13" x14ac:dyDescent="0.25">
      <c r="A7" s="9" t="s">
        <v>138</v>
      </c>
      <c r="B7" s="13" t="e">
        <f t="shared" ref="B7" si="0">((B5/B6)^(1/3)-1)</f>
        <v>#REF!</v>
      </c>
      <c r="C7" s="13">
        <f>((C5/C6)^(1/3)-1)</f>
        <v>0.11249577314211812</v>
      </c>
      <c r="D7" s="13">
        <f t="shared" ref="D7:F7" si="1">((D5/D6)^(1/3)-1)</f>
        <v>0.62544563006467313</v>
      </c>
      <c r="E7" s="13" t="e">
        <f t="shared" si="1"/>
        <v>#DIV/0!</v>
      </c>
      <c r="F7" s="13" t="e">
        <f t="shared" si="1"/>
        <v>#DIV/0!</v>
      </c>
      <c r="H7" s="8" t="s">
        <v>65</v>
      </c>
      <c r="I7">
        <f>'Summary Sheet'!U11</f>
        <v>0</v>
      </c>
      <c r="J7">
        <v>165.1</v>
      </c>
    </row>
    <row r="8" spans="1:13" x14ac:dyDescent="0.25">
      <c r="A8" s="8"/>
      <c r="H8" s="9" t="s">
        <v>66</v>
      </c>
      <c r="I8">
        <f>SUM(I6:I7)</f>
        <v>0</v>
      </c>
      <c r="J8">
        <f>SUM(J6:J7)</f>
        <v>382.9</v>
      </c>
    </row>
    <row r="9" spans="1:13" x14ac:dyDescent="0.25">
      <c r="A9" s="8" t="s">
        <v>10</v>
      </c>
      <c r="B9" s="2">
        <f>'Summary Sheet'!C11</f>
        <v>4219.4480000000003</v>
      </c>
      <c r="C9">
        <v>51476.9</v>
      </c>
      <c r="D9">
        <f>5263386907/10^6</f>
        <v>5263.3869070000001</v>
      </c>
      <c r="H9" s="9" t="s">
        <v>67</v>
      </c>
      <c r="I9" s="1">
        <f>'Summary Sheet'!U13</f>
        <v>4344</v>
      </c>
      <c r="J9">
        <v>32399.4</v>
      </c>
      <c r="K9">
        <f>(7286416406/10^6)-(1099349464/10^6)</f>
        <v>6187.0669420000004</v>
      </c>
    </row>
    <row r="10" spans="1:13" x14ac:dyDescent="0.25">
      <c r="A10" s="8"/>
      <c r="H10" s="8" t="s">
        <v>143</v>
      </c>
      <c r="I10" s="1">
        <f>'Summary Sheet'!W48</f>
        <v>2600.3000000000002</v>
      </c>
      <c r="J10">
        <v>21044.7</v>
      </c>
      <c r="K10">
        <f>3033435232/10^6</f>
        <v>3033.4352319999998</v>
      </c>
    </row>
    <row r="11" spans="1:13" x14ac:dyDescent="0.25">
      <c r="A11" s="9" t="s">
        <v>150</v>
      </c>
      <c r="B11" s="2">
        <f>'Summary Sheet'!C18</f>
        <v>568.55199999999968</v>
      </c>
      <c r="C11" s="2">
        <f>C5-C9</f>
        <v>6624</v>
      </c>
      <c r="D11" s="2">
        <f>D5-D9</f>
        <v>173.37539300000026</v>
      </c>
      <c r="H11" s="8" t="s">
        <v>144</v>
      </c>
      <c r="I11" s="1">
        <f>'Summary Sheet'!W60</f>
        <v>1673</v>
      </c>
      <c r="J11">
        <v>28970.1</v>
      </c>
      <c r="K11">
        <f>4252981174/10^6</f>
        <v>4252.9811739999996</v>
      </c>
    </row>
    <row r="12" spans="1:13" x14ac:dyDescent="0.25">
      <c r="A12" s="9" t="s">
        <v>151</v>
      </c>
      <c r="B12" s="2" t="e">
        <f>'Summary Sheet'!#REF!</f>
        <v>#REF!</v>
      </c>
      <c r="C12">
        <v>3095.5</v>
      </c>
      <c r="D12" s="2">
        <f>1012519457/10^6</f>
        <v>1012.519457</v>
      </c>
      <c r="H12" s="8" t="s">
        <v>164</v>
      </c>
      <c r="I12" s="1">
        <f>'Summary Sheet'!W50</f>
        <v>387</v>
      </c>
      <c r="J12">
        <v>8833.6</v>
      </c>
      <c r="K12">
        <f>1022696874/10^6</f>
        <v>1022.696874</v>
      </c>
    </row>
    <row r="13" spans="1:13" x14ac:dyDescent="0.25">
      <c r="A13" s="9" t="s">
        <v>138</v>
      </c>
      <c r="B13" s="13" t="e">
        <f>((B11/B12)^(1/3)-1)</f>
        <v>#REF!</v>
      </c>
      <c r="C13" s="13">
        <f t="shared" ref="C13:F13" si="2">((C11/C12)^(1/3)-1)</f>
        <v>0.28863474968882974</v>
      </c>
      <c r="D13" s="13">
        <f t="shared" si="2"/>
        <v>-0.4446995479832514</v>
      </c>
      <c r="E13" s="13" t="e">
        <f t="shared" si="2"/>
        <v>#DIV/0!</v>
      </c>
      <c r="F13" s="13" t="e">
        <f t="shared" si="2"/>
        <v>#DIV/0!</v>
      </c>
      <c r="H13" s="8" t="s">
        <v>165</v>
      </c>
    </row>
    <row r="14" spans="1:13" x14ac:dyDescent="0.25">
      <c r="A14" s="8"/>
      <c r="H14" s="8" t="s">
        <v>166</v>
      </c>
      <c r="I14" s="1">
        <f>'Summary Sheet'!W53</f>
        <v>881</v>
      </c>
      <c r="J14">
        <v>7318.6</v>
      </c>
      <c r="K14">
        <f>961576534/10^6</f>
        <v>961.57653400000004</v>
      </c>
    </row>
    <row r="15" spans="1:13" x14ac:dyDescent="0.25">
      <c r="A15" s="8" t="s">
        <v>152</v>
      </c>
      <c r="B15" s="2">
        <f>'Summary Sheet'!C22</f>
        <v>94</v>
      </c>
      <c r="C15">
        <v>1072.2</v>
      </c>
      <c r="D15">
        <f>163499020/10^6</f>
        <v>163.49902</v>
      </c>
      <c r="H15" s="8" t="s">
        <v>167</v>
      </c>
    </row>
    <row r="16" spans="1:13" x14ac:dyDescent="0.25">
      <c r="A16" s="8" t="s">
        <v>153</v>
      </c>
      <c r="B16" s="2">
        <f>'Summary Sheet'!C23</f>
        <v>6</v>
      </c>
      <c r="C16">
        <v>172.3</v>
      </c>
      <c r="D16">
        <f>14683746/10^6</f>
        <v>14.683745999999999</v>
      </c>
      <c r="H16" s="8" t="s">
        <v>145</v>
      </c>
      <c r="I16" s="1">
        <f>SUM('Summary Sheet'!W54:W55)</f>
        <v>284</v>
      </c>
      <c r="J16">
        <v>1688.9</v>
      </c>
      <c r="K16">
        <f>+(231535599+26760959)/10^6</f>
        <v>258.296558</v>
      </c>
    </row>
    <row r="17" spans="1:13" x14ac:dyDescent="0.25">
      <c r="A17" s="8"/>
      <c r="H17" s="8" t="s">
        <v>146</v>
      </c>
      <c r="I17" s="1">
        <f>'Summary Sheet'!U34</f>
        <v>951</v>
      </c>
      <c r="J17">
        <v>17754.599999999999</v>
      </c>
      <c r="K17">
        <f>1099349464/10^6</f>
        <v>1099.3494639999999</v>
      </c>
    </row>
    <row r="18" spans="1:13" x14ac:dyDescent="0.25">
      <c r="A18" s="8" t="s">
        <v>154</v>
      </c>
      <c r="B18" s="2" t="e">
        <f>'Summary Sheet'!#REF!</f>
        <v>#REF!</v>
      </c>
      <c r="C18">
        <v>634.20000000000005</v>
      </c>
      <c r="D18">
        <f>108587522/10^6</f>
        <v>108.58752200000001</v>
      </c>
      <c r="H18" s="8" t="s">
        <v>168</v>
      </c>
      <c r="I18" s="1">
        <f>'Summary Sheet'!U26</f>
        <v>761</v>
      </c>
      <c r="J18">
        <f>802.5+12126.7</f>
        <v>12929.2</v>
      </c>
      <c r="K18">
        <f>+(102240330+475471708)/10^6</f>
        <v>577.71203800000001</v>
      </c>
    </row>
    <row r="19" spans="1:13" x14ac:dyDescent="0.25">
      <c r="A19" s="8" t="s">
        <v>155</v>
      </c>
      <c r="B19" s="2" t="e">
        <f>'Summary Sheet'!#REF!</f>
        <v>#REF!</v>
      </c>
      <c r="C19">
        <v>322.10000000000002</v>
      </c>
      <c r="D19">
        <f>16934950/10^6</f>
        <v>16.934950000000001</v>
      </c>
      <c r="H19" s="8" t="s">
        <v>169</v>
      </c>
    </row>
    <row r="20" spans="1:13" ht="15.75" thickBot="1" x14ac:dyDescent="0.3">
      <c r="A20" s="8"/>
      <c r="H20" s="12" t="s">
        <v>147</v>
      </c>
      <c r="I20" s="1">
        <f>I11-I17</f>
        <v>722</v>
      </c>
      <c r="J20" s="1">
        <f t="shared" ref="J20:M20" si="3">J11-J17</f>
        <v>11215.5</v>
      </c>
      <c r="K20" s="1">
        <f t="shared" si="3"/>
        <v>3153.6317099999997</v>
      </c>
      <c r="L20" s="1">
        <f t="shared" si="3"/>
        <v>0</v>
      </c>
      <c r="M20" s="1">
        <f t="shared" si="3"/>
        <v>0</v>
      </c>
    </row>
    <row r="21" spans="1:13" x14ac:dyDescent="0.25">
      <c r="A21" s="8" t="s">
        <v>156</v>
      </c>
      <c r="B21" s="2">
        <f>'Summary Sheet'!C24</f>
        <v>728.99999999999977</v>
      </c>
      <c r="C21">
        <v>6252.5</v>
      </c>
      <c r="D21">
        <f>231033695/10^6</f>
        <v>231.03369499999999</v>
      </c>
    </row>
    <row r="22" spans="1:13" x14ac:dyDescent="0.25">
      <c r="A22" s="8" t="s">
        <v>157</v>
      </c>
      <c r="B22" s="2" t="e">
        <f>'Summary Sheet'!#REF!</f>
        <v>#REF!</v>
      </c>
      <c r="C22">
        <v>2487.1</v>
      </c>
      <c r="D22">
        <f>1158838826/10^6</f>
        <v>1158.8388259999999</v>
      </c>
    </row>
    <row r="23" spans="1:13" x14ac:dyDescent="0.25">
      <c r="A23" s="8"/>
    </row>
    <row r="24" spans="1:13" x14ac:dyDescent="0.25">
      <c r="A24" s="8" t="s">
        <v>158</v>
      </c>
      <c r="B24" s="2">
        <f>'Summary Sheet'!C32</f>
        <v>542.99999999999977</v>
      </c>
      <c r="C24">
        <v>4717.2</v>
      </c>
      <c r="D24">
        <f>180059052/10^6</f>
        <v>180.05905200000001</v>
      </c>
    </row>
    <row r="25" spans="1:13" x14ac:dyDescent="0.25">
      <c r="A25" s="8" t="s">
        <v>159</v>
      </c>
      <c r="B25" s="2" t="e">
        <f>'Summary Sheet'!#REF!</f>
        <v>#REF!</v>
      </c>
      <c r="C25">
        <v>1307.5</v>
      </c>
      <c r="D25">
        <f>827079760/10^6</f>
        <v>827.07975999999996</v>
      </c>
    </row>
    <row r="26" spans="1:13" ht="15.75" thickBot="1" x14ac:dyDescent="0.3">
      <c r="A26" s="9" t="s">
        <v>138</v>
      </c>
      <c r="B26" s="14" t="e">
        <f>(B24/B25)^(1/3)-1</f>
        <v>#REF!</v>
      </c>
      <c r="C26" s="14">
        <f>(C24/C25)^(1/3)-1</f>
        <v>0.53372512029609975</v>
      </c>
      <c r="D26" s="14">
        <f>(D24/D25)^(1/3)-1</f>
        <v>-0.39842581862614057</v>
      </c>
    </row>
    <row r="27" spans="1:13" x14ac:dyDescent="0.25">
      <c r="A27" s="8"/>
      <c r="H27" s="11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.75" thickBot="1" x14ac:dyDescent="0.3">
      <c r="A28" s="10" t="s">
        <v>160</v>
      </c>
      <c r="B28" s="1">
        <f>'Summary Sheet'!C38</f>
        <v>24.02</v>
      </c>
      <c r="C28">
        <v>55.04</v>
      </c>
      <c r="D28">
        <v>20.83</v>
      </c>
      <c r="H28" s="8" t="s">
        <v>99</v>
      </c>
    </row>
    <row r="29" spans="1:13" x14ac:dyDescent="0.25">
      <c r="H29" s="8" t="s">
        <v>100</v>
      </c>
    </row>
    <row r="30" spans="1:13" x14ac:dyDescent="0.25">
      <c r="H30" s="8" t="s">
        <v>101</v>
      </c>
    </row>
    <row r="31" spans="1:13" x14ac:dyDescent="0.25">
      <c r="H31" s="8" t="s">
        <v>102</v>
      </c>
    </row>
    <row r="32" spans="1:13" x14ac:dyDescent="0.25">
      <c r="H32" s="8" t="s">
        <v>103</v>
      </c>
    </row>
    <row r="33" spans="8:8" x14ac:dyDescent="0.25">
      <c r="H33" s="8" t="s">
        <v>70</v>
      </c>
    </row>
    <row r="34" spans="8:8" x14ac:dyDescent="0.25">
      <c r="H34" s="8" t="s">
        <v>71</v>
      </c>
    </row>
    <row r="35" spans="8:8" x14ac:dyDescent="0.25">
      <c r="H35" s="8" t="s">
        <v>72</v>
      </c>
    </row>
    <row r="36" spans="8:8" x14ac:dyDescent="0.25">
      <c r="H36" s="8" t="s">
        <v>74</v>
      </c>
    </row>
    <row r="37" spans="8:8" x14ac:dyDescent="0.25">
      <c r="H37" s="8" t="s">
        <v>75</v>
      </c>
    </row>
    <row r="38" spans="8:8" x14ac:dyDescent="0.25">
      <c r="H38" s="8" t="s">
        <v>76</v>
      </c>
    </row>
    <row r="39" spans="8:8" x14ac:dyDescent="0.25">
      <c r="H39" s="8" t="s">
        <v>77</v>
      </c>
    </row>
    <row r="40" spans="8:8" x14ac:dyDescent="0.25">
      <c r="H40" s="8" t="s">
        <v>78</v>
      </c>
    </row>
    <row r="41" spans="8:8" x14ac:dyDescent="0.25">
      <c r="H41" s="8" t="s">
        <v>148</v>
      </c>
    </row>
    <row r="42" spans="8:8" x14ac:dyDescent="0.25">
      <c r="H42" s="8" t="s">
        <v>79</v>
      </c>
    </row>
    <row r="43" spans="8:8" x14ac:dyDescent="0.25">
      <c r="H43" s="8" t="s">
        <v>80</v>
      </c>
    </row>
    <row r="44" spans="8:8" x14ac:dyDescent="0.25">
      <c r="H44" s="8" t="s">
        <v>149</v>
      </c>
    </row>
    <row r="45" spans="8:8" x14ac:dyDescent="0.25">
      <c r="H45" s="8" t="s">
        <v>81</v>
      </c>
    </row>
    <row r="46" spans="8:8" x14ac:dyDescent="0.25">
      <c r="H46" s="8" t="s">
        <v>82</v>
      </c>
    </row>
    <row r="47" spans="8:8" x14ac:dyDescent="0.25">
      <c r="H47" s="8" t="s">
        <v>83</v>
      </c>
    </row>
    <row r="48" spans="8:8" x14ac:dyDescent="0.25">
      <c r="H48" s="8" t="s">
        <v>84</v>
      </c>
    </row>
    <row r="49" spans="8:8" x14ac:dyDescent="0.25">
      <c r="H49" s="8" t="s">
        <v>85</v>
      </c>
    </row>
    <row r="50" spans="8:8" x14ac:dyDescent="0.25">
      <c r="H50" s="8" t="s">
        <v>86</v>
      </c>
    </row>
    <row r="51" spans="8:8" x14ac:dyDescent="0.25">
      <c r="H51" s="8" t="s">
        <v>87</v>
      </c>
    </row>
    <row r="52" spans="8:8" ht="15.75" thickBot="1" x14ac:dyDescent="0.3">
      <c r="H52" s="10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109375" defaultRowHeight="15" x14ac:dyDescent="0.25"/>
  <cols>
    <col min="1" max="1" width="34.7109375" bestFit="1" customWidth="1"/>
    <col min="4" max="4" width="10.28515625" bestFit="1" customWidth="1"/>
  </cols>
  <sheetData>
    <row r="2" spans="1:6" x14ac:dyDescent="0.25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 x14ac:dyDescent="0.25">
      <c r="A3" s="202" t="s">
        <v>106</v>
      </c>
    </row>
    <row r="4" spans="1:6" x14ac:dyDescent="0.25">
      <c r="A4" s="203"/>
    </row>
    <row r="5" spans="1:6" x14ac:dyDescent="0.25">
      <c r="A5" s="3" t="s">
        <v>107</v>
      </c>
    </row>
    <row r="6" spans="1:6" x14ac:dyDescent="0.25">
      <c r="A6" s="3" t="s">
        <v>0</v>
      </c>
    </row>
    <row r="7" spans="1:6" x14ac:dyDescent="0.25">
      <c r="A7" s="4" t="s">
        <v>108</v>
      </c>
    </row>
    <row r="8" spans="1:6" x14ac:dyDescent="0.25">
      <c r="A8" s="4" t="s">
        <v>109</v>
      </c>
    </row>
    <row r="9" spans="1:6" x14ac:dyDescent="0.25">
      <c r="A9" s="3" t="s">
        <v>13</v>
      </c>
    </row>
    <row r="10" spans="1:6" x14ac:dyDescent="0.25">
      <c r="A10" s="4" t="s">
        <v>109</v>
      </c>
    </row>
    <row r="11" spans="1:6" x14ac:dyDescent="0.25">
      <c r="A11" s="3" t="s">
        <v>110</v>
      </c>
    </row>
    <row r="12" spans="1:6" x14ac:dyDescent="0.25">
      <c r="A12" s="3" t="s">
        <v>19</v>
      </c>
    </row>
    <row r="13" spans="1:6" x14ac:dyDescent="0.25">
      <c r="A13" s="4" t="s">
        <v>109</v>
      </c>
    </row>
    <row r="14" spans="1:6" x14ac:dyDescent="0.25">
      <c r="A14" s="3" t="s">
        <v>111</v>
      </c>
    </row>
    <row r="15" spans="1:6" x14ac:dyDescent="0.25">
      <c r="A15" s="4" t="s">
        <v>22</v>
      </c>
    </row>
    <row r="16" spans="1:6" x14ac:dyDescent="0.25">
      <c r="A16" s="4"/>
    </row>
    <row r="17" spans="1:1" x14ac:dyDescent="0.25">
      <c r="A17" s="4"/>
    </row>
    <row r="18" spans="1:1" x14ac:dyDescent="0.25">
      <c r="A18" s="3" t="s">
        <v>112</v>
      </c>
    </row>
    <row r="19" spans="1:1" x14ac:dyDescent="0.25">
      <c r="A19" s="3" t="s">
        <v>113</v>
      </c>
    </row>
    <row r="20" spans="1:1" x14ac:dyDescent="0.25">
      <c r="A20" s="3" t="s">
        <v>101</v>
      </c>
    </row>
    <row r="21" spans="1:1" x14ac:dyDescent="0.25">
      <c r="A21" s="5" t="s">
        <v>114</v>
      </c>
    </row>
    <row r="22" spans="1:1" x14ac:dyDescent="0.25">
      <c r="A22" s="5" t="s">
        <v>115</v>
      </c>
    </row>
    <row r="23" spans="1:1" x14ac:dyDescent="0.25">
      <c r="A23" s="4"/>
    </row>
    <row r="24" spans="1:1" x14ac:dyDescent="0.25">
      <c r="A24" s="3" t="s">
        <v>88</v>
      </c>
    </row>
    <row r="25" spans="1:1" x14ac:dyDescent="0.25">
      <c r="A25" s="4" t="s">
        <v>116</v>
      </c>
    </row>
    <row r="26" spans="1:1" x14ac:dyDescent="0.25">
      <c r="A26" s="4" t="s">
        <v>98</v>
      </c>
    </row>
    <row r="27" spans="1:1" x14ac:dyDescent="0.25">
      <c r="A27" s="6"/>
    </row>
    <row r="28" spans="1:1" x14ac:dyDescent="0.25">
      <c r="A28" s="6" t="s">
        <v>99</v>
      </c>
    </row>
    <row r="29" spans="1:1" x14ac:dyDescent="0.25">
      <c r="A29" s="3" t="s">
        <v>100</v>
      </c>
    </row>
    <row r="30" spans="1:1" x14ac:dyDescent="0.25">
      <c r="A30" s="3" t="s">
        <v>117</v>
      </c>
    </row>
    <row r="31" spans="1:1" x14ac:dyDescent="0.25">
      <c r="A31" s="4"/>
    </row>
    <row r="32" spans="1:1" x14ac:dyDescent="0.25">
      <c r="A32" s="4" t="s">
        <v>118</v>
      </c>
    </row>
    <row r="33" spans="1:1" x14ac:dyDescent="0.25">
      <c r="A33" s="4" t="s">
        <v>81</v>
      </c>
    </row>
    <row r="34" spans="1:1" x14ac:dyDescent="0.25">
      <c r="A34" s="4" t="s">
        <v>119</v>
      </c>
    </row>
    <row r="35" spans="1:1" x14ac:dyDescent="0.25">
      <c r="A35" s="4" t="s">
        <v>120</v>
      </c>
    </row>
    <row r="36" spans="1:1" x14ac:dyDescent="0.25">
      <c r="A36" s="4"/>
    </row>
    <row r="37" spans="1:1" x14ac:dyDescent="0.25">
      <c r="A37" s="3" t="s">
        <v>121</v>
      </c>
    </row>
    <row r="38" spans="1:1" x14ac:dyDescent="0.25">
      <c r="A38" s="3" t="s">
        <v>122</v>
      </c>
    </row>
    <row r="39" spans="1:1" x14ac:dyDescent="0.25">
      <c r="A39" s="4" t="s">
        <v>123</v>
      </c>
    </row>
    <row r="40" spans="1:1" x14ac:dyDescent="0.25">
      <c r="A40" s="4" t="s">
        <v>124</v>
      </c>
    </row>
    <row r="41" spans="1:1" x14ac:dyDescent="0.25">
      <c r="A41" s="4" t="s">
        <v>125</v>
      </c>
    </row>
    <row r="42" spans="1:1" x14ac:dyDescent="0.25">
      <c r="A42" s="4" t="s">
        <v>126</v>
      </c>
    </row>
    <row r="43" spans="1:1" x14ac:dyDescent="0.25">
      <c r="A43" s="4" t="s">
        <v>127</v>
      </c>
    </row>
    <row r="44" spans="1:1" x14ac:dyDescent="0.25">
      <c r="A44" s="4" t="s">
        <v>128</v>
      </c>
    </row>
    <row r="45" spans="1:1" x14ac:dyDescent="0.25">
      <c r="A45" s="4" t="s">
        <v>84</v>
      </c>
    </row>
    <row r="46" spans="1:1" x14ac:dyDescent="0.25">
      <c r="A46" s="4" t="s">
        <v>129</v>
      </c>
    </row>
    <row r="47" spans="1:1" x14ac:dyDescent="0.25">
      <c r="A47" s="4" t="s">
        <v>130</v>
      </c>
    </row>
    <row r="48" spans="1:1" x14ac:dyDescent="0.25">
      <c r="A48" s="4" t="s">
        <v>86</v>
      </c>
    </row>
    <row r="49" spans="1:1" x14ac:dyDescent="0.25">
      <c r="A49" s="4" t="s">
        <v>131</v>
      </c>
    </row>
    <row r="50" spans="1:1" x14ac:dyDescent="0.25">
      <c r="A50" s="4" t="s">
        <v>132</v>
      </c>
    </row>
    <row r="51" spans="1:1" x14ac:dyDescent="0.25">
      <c r="A51" s="4" t="s">
        <v>133</v>
      </c>
    </row>
    <row r="52" spans="1:1" x14ac:dyDescent="0.25">
      <c r="A52" s="4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Amit valorem</cp:lastModifiedBy>
  <cp:lastPrinted>2022-06-29T12:01:35Z</cp:lastPrinted>
  <dcterms:created xsi:type="dcterms:W3CDTF">2021-01-13T15:05:52Z</dcterms:created>
  <dcterms:modified xsi:type="dcterms:W3CDTF">2026-02-17T07:21:46Z</dcterms:modified>
</cp:coreProperties>
</file>