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3823C29-E15D-4604-B9B9-E7F5589CD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1" r:id="rId1"/>
    <sheet name="Peer comparison" sheetId="2" state="hidden" r:id="rId2"/>
  </sheets>
  <definedNames>
    <definedName name="_xlnm.Print_Area" localSheetId="0">'Summary Sheet'!$A$1:$AH$83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5" i="1" l="1"/>
  <c r="Q59" i="1"/>
  <c r="Q31" i="1"/>
  <c r="Q25" i="1"/>
  <c r="Q22" i="1"/>
  <c r="Q14" i="1"/>
  <c r="Q13" i="1"/>
  <c r="Q8" i="1"/>
  <c r="P55" i="1"/>
  <c r="Q55" i="1"/>
  <c r="AH26" i="1"/>
  <c r="AH42" i="1" s="1"/>
  <c r="AI26" i="1"/>
  <c r="AH35" i="1"/>
  <c r="AI35" i="1"/>
  <c r="AI10" i="1"/>
  <c r="Q60" i="1" s="1"/>
  <c r="AI39" i="1"/>
  <c r="AH39" i="1"/>
  <c r="AI37" i="1"/>
  <c r="AH37" i="1"/>
  <c r="AI15" i="1"/>
  <c r="AI19" i="1" s="1"/>
  <c r="Q61" i="1"/>
  <c r="Q54" i="1"/>
  <c r="Q56" i="1" s="1"/>
  <c r="Q51" i="1"/>
  <c r="AI6" i="1"/>
  <c r="AI11" i="1" s="1"/>
  <c r="AH55" i="1"/>
  <c r="AH72" i="1" s="1"/>
  <c r="P7" i="1"/>
  <c r="P6" i="1"/>
  <c r="Q5" i="1"/>
  <c r="AH68" i="1"/>
  <c r="AH66" i="1"/>
  <c r="AG66" i="1"/>
  <c r="AH19" i="1"/>
  <c r="AH10" i="1"/>
  <c r="P8" i="1"/>
  <c r="P59" i="1"/>
  <c r="AH65" i="1"/>
  <c r="AH6" i="1"/>
  <c r="AH11" i="1" s="1"/>
  <c r="P61" i="1"/>
  <c r="P51" i="1"/>
  <c r="P54" i="1"/>
  <c r="P5" i="1"/>
  <c r="AE68" i="1"/>
  <c r="AF68" i="1"/>
  <c r="AG68" i="1"/>
  <c r="AD68" i="1"/>
  <c r="AD66" i="1"/>
  <c r="O8" i="1"/>
  <c r="AG67" i="1" s="1"/>
  <c r="AG35" i="1"/>
  <c r="AG26" i="1"/>
  <c r="AB35" i="1"/>
  <c r="AG19" i="1"/>
  <c r="AE35" i="1"/>
  <c r="AF35" i="1"/>
  <c r="AG6" i="1"/>
  <c r="AG56" i="1" s="1"/>
  <c r="AG59" i="1" s="1"/>
  <c r="AG10" i="1"/>
  <c r="O60" i="1" s="1"/>
  <c r="O59" i="1"/>
  <c r="O39" i="1"/>
  <c r="O51" i="1"/>
  <c r="O7" i="1"/>
  <c r="O6" i="1"/>
  <c r="AG72" i="1"/>
  <c r="AF65" i="1"/>
  <c r="AG65" i="1"/>
  <c r="O38" i="1"/>
  <c r="O61" i="1"/>
  <c r="N61" i="1"/>
  <c r="N59" i="1"/>
  <c r="O54" i="1"/>
  <c r="O56" i="1" s="1"/>
  <c r="O5" i="1"/>
  <c r="AG11" i="1" l="1"/>
  <c r="AI42" i="1"/>
  <c r="AI12" i="1" s="1"/>
  <c r="AH12" i="1"/>
  <c r="P56" i="1"/>
  <c r="AI49" i="1"/>
  <c r="AH49" i="1"/>
  <c r="AH67" i="1"/>
  <c r="AH69" i="1" s="1"/>
  <c r="AH63" i="1"/>
  <c r="AG49" i="1"/>
  <c r="P13" i="1"/>
  <c r="P22" i="1" s="1"/>
  <c r="AH48" i="1"/>
  <c r="AH56" i="1"/>
  <c r="AH59" i="1" s="1"/>
  <c r="AI48" i="1"/>
  <c r="Q62" i="1"/>
  <c r="AH71" i="1"/>
  <c r="AG64" i="1"/>
  <c r="AH64" i="1"/>
  <c r="AG63" i="1"/>
  <c r="P60" i="1"/>
  <c r="P62" i="1" s="1"/>
  <c r="O13" i="1"/>
  <c r="O22" i="1" s="1"/>
  <c r="AG69" i="1"/>
  <c r="AG48" i="1"/>
  <c r="O62" i="1"/>
  <c r="AG71" i="1"/>
  <c r="AG42" i="1"/>
  <c r="AG12" i="1" s="1"/>
  <c r="AF66" i="1"/>
  <c r="AF19" i="1"/>
  <c r="N39" i="1"/>
  <c r="N38" i="1"/>
  <c r="N7" i="1"/>
  <c r="N6" i="1"/>
  <c r="P14" i="1" l="1"/>
  <c r="O14" i="1"/>
  <c r="P26" i="1"/>
  <c r="P29" i="1" s="1"/>
  <c r="P25" i="1"/>
  <c r="AH62" i="1"/>
  <c r="AG62" i="1"/>
  <c r="AH70" i="1"/>
  <c r="O26" i="1"/>
  <c r="O25" i="1"/>
  <c r="AF58" i="1"/>
  <c r="AF72" i="1"/>
  <c r="N8" i="1"/>
  <c r="AF67" i="1" s="1"/>
  <c r="AF69" i="1" s="1"/>
  <c r="AF26" i="1"/>
  <c r="AF42" i="1" s="1"/>
  <c r="AG70" i="1" s="1"/>
  <c r="AF10" i="1"/>
  <c r="AF6" i="1"/>
  <c r="N51" i="1"/>
  <c r="N54" i="1"/>
  <c r="N56" i="1" s="1"/>
  <c r="M8" i="1"/>
  <c r="N5" i="1"/>
  <c r="F5" i="1"/>
  <c r="F8" i="1"/>
  <c r="F38" i="1"/>
  <c r="F51" i="1"/>
  <c r="O29" i="1" l="1"/>
  <c r="AG61" i="1" s="1"/>
  <c r="AF12" i="1"/>
  <c r="AF49" i="1"/>
  <c r="Q26" i="1"/>
  <c r="P31" i="1"/>
  <c r="AH61" i="1"/>
  <c r="P36" i="1"/>
  <c r="AF64" i="1"/>
  <c r="O31" i="1"/>
  <c r="O36" i="1"/>
  <c r="AF56" i="1"/>
  <c r="AF59" i="1" s="1"/>
  <c r="AF11" i="1"/>
  <c r="AF63" i="1"/>
  <c r="AF71" i="1"/>
  <c r="F13" i="1"/>
  <c r="F14" i="1" s="1"/>
  <c r="N13" i="1"/>
  <c r="O15" i="1" s="1"/>
  <c r="N60" i="1"/>
  <c r="N62" i="1" s="1"/>
  <c r="AF60" i="1" s="1"/>
  <c r="AF48" i="1"/>
  <c r="Q29" i="1" l="1"/>
  <c r="F22" i="1"/>
  <c r="F25" i="1" s="1"/>
  <c r="N14" i="1"/>
  <c r="N22" i="1"/>
  <c r="Q36" i="1" l="1"/>
  <c r="F26" i="1"/>
  <c r="F29" i="1" s="1"/>
  <c r="F31" i="1" s="1"/>
  <c r="N26" i="1"/>
  <c r="N29" i="1" s="1"/>
  <c r="O33" i="1" s="1"/>
  <c r="AF62" i="1"/>
  <c r="N25" i="1"/>
  <c r="F36" i="1" l="1"/>
  <c r="N31" i="1"/>
  <c r="AF61" i="1"/>
  <c r="N36" i="1"/>
  <c r="AE26" i="1"/>
  <c r="AE72" i="1" l="1"/>
  <c r="AE66" i="1"/>
  <c r="AE65" i="1"/>
  <c r="AE10" i="1"/>
  <c r="AE71" i="1" l="1"/>
  <c r="M59" i="1" l="1"/>
  <c r="M61" i="1"/>
  <c r="M54" i="1"/>
  <c r="M51" i="1"/>
  <c r="AE19" i="1"/>
  <c r="AE6" i="1"/>
  <c r="AE49" i="1" s="1"/>
  <c r="F54" i="1"/>
  <c r="F56" i="1" s="1"/>
  <c r="F59" i="1"/>
  <c r="F61" i="1"/>
  <c r="M38" i="1"/>
  <c r="M39" i="1"/>
  <c r="M7" i="1"/>
  <c r="M6" i="1"/>
  <c r="M5" i="1"/>
  <c r="M13" i="1" s="1"/>
  <c r="AD37" i="1"/>
  <c r="AD30" i="1"/>
  <c r="L23" i="1"/>
  <c r="L7" i="1"/>
  <c r="L6" i="1"/>
  <c r="L39" i="1"/>
  <c r="L38" i="1"/>
  <c r="N15" i="1" l="1"/>
  <c r="P17" i="1"/>
  <c r="AD35" i="1"/>
  <c r="AE67" i="1"/>
  <c r="AE69" i="1" s="1"/>
  <c r="AE11" i="1"/>
  <c r="AE64" i="1"/>
  <c r="AE63" i="1"/>
  <c r="M56" i="1"/>
  <c r="AE42" i="1"/>
  <c r="AE48" i="1"/>
  <c r="AE56" i="1"/>
  <c r="M60" i="1"/>
  <c r="M62" i="1" s="1"/>
  <c r="L28" i="1"/>
  <c r="AE12" i="1" l="1"/>
  <c r="AF70" i="1"/>
  <c r="AE59" i="1"/>
  <c r="M14" i="1"/>
  <c r="M22" i="1"/>
  <c r="AE62" i="1" s="1"/>
  <c r="P52" i="2"/>
  <c r="P50" i="2"/>
  <c r="P49" i="2"/>
  <c r="P40" i="2"/>
  <c r="P39" i="2"/>
  <c r="P27" i="2"/>
  <c r="P28" i="2" s="1"/>
  <c r="P25" i="2"/>
  <c r="P13" i="2"/>
  <c r="P10" i="2"/>
  <c r="P7" i="2"/>
  <c r="N40" i="2"/>
  <c r="N39" i="2"/>
  <c r="N27" i="2"/>
  <c r="N25" i="2"/>
  <c r="N18" i="2"/>
  <c r="N52" i="2" s="1"/>
  <c r="N12" i="2"/>
  <c r="N9" i="2"/>
  <c r="K18" i="2"/>
  <c r="K52" i="2" s="1"/>
  <c r="K40" i="2"/>
  <c r="K39" i="2"/>
  <c r="K27" i="2"/>
  <c r="K24" i="2"/>
  <c r="K25" i="2" s="1"/>
  <c r="K12" i="2"/>
  <c r="K9" i="2"/>
  <c r="H30" i="2"/>
  <c r="H40" i="2"/>
  <c r="H39" i="2"/>
  <c r="H27" i="2"/>
  <c r="H25" i="2"/>
  <c r="H22" i="2"/>
  <c r="H19" i="2"/>
  <c r="H20" i="2"/>
  <c r="H13" i="2"/>
  <c r="H10" i="2"/>
  <c r="H7" i="2"/>
  <c r="H5" i="2"/>
  <c r="E22" i="2"/>
  <c r="AD65" i="1"/>
  <c r="AD55" i="1"/>
  <c r="AD72" i="1" s="1"/>
  <c r="L61" i="1"/>
  <c r="L59" i="1"/>
  <c r="E27" i="2" s="1"/>
  <c r="L55" i="1"/>
  <c r="L54" i="1"/>
  <c r="E24" i="2" s="1"/>
  <c r="L51" i="1"/>
  <c r="L47" i="1"/>
  <c r="E20" i="2"/>
  <c r="E19" i="2"/>
  <c r="E13" i="2"/>
  <c r="H18" i="2" l="1"/>
  <c r="H50" i="2" s="1"/>
  <c r="N28" i="2"/>
  <c r="N50" i="2"/>
  <c r="K49" i="2"/>
  <c r="K50" i="2"/>
  <c r="M26" i="1"/>
  <c r="M25" i="1"/>
  <c r="L52" i="1"/>
  <c r="M47" i="1" s="1"/>
  <c r="M52" i="1" s="1"/>
  <c r="N47" i="1" s="1"/>
  <c r="N52" i="1" s="1"/>
  <c r="O47" i="1" s="1"/>
  <c r="O52" i="1" s="1"/>
  <c r="P47" i="1" s="1"/>
  <c r="P52" i="1" s="1"/>
  <c r="Q47" i="1" s="1"/>
  <c r="Q52" i="1" s="1"/>
  <c r="H28" i="2"/>
  <c r="N49" i="2"/>
  <c r="H52" i="2"/>
  <c r="K28" i="2"/>
  <c r="H49" i="2"/>
  <c r="L56" i="1"/>
  <c r="E18" i="2"/>
  <c r="E52" i="2" s="1"/>
  <c r="AD58" i="1"/>
  <c r="AD10" i="1"/>
  <c r="AD6" i="1"/>
  <c r="AC37" i="1"/>
  <c r="AC35" i="1" s="1"/>
  <c r="AD49" i="1" l="1"/>
  <c r="M29" i="1"/>
  <c r="E25" i="2"/>
  <c r="AD71" i="1"/>
  <c r="L60" i="1"/>
  <c r="L62" i="1" s="1"/>
  <c r="AD56" i="1"/>
  <c r="E17" i="2"/>
  <c r="AD64" i="1"/>
  <c r="AD63" i="1"/>
  <c r="AD11" i="1"/>
  <c r="AD26" i="1"/>
  <c r="AD19" i="1"/>
  <c r="N33" i="1" l="1"/>
  <c r="AE61" i="1"/>
  <c r="M36" i="1"/>
  <c r="M31" i="1"/>
  <c r="E28" i="2"/>
  <c r="AD48" i="1"/>
  <c r="E49" i="2"/>
  <c r="E39" i="2"/>
  <c r="E50" i="2"/>
  <c r="AD59" i="1"/>
  <c r="E40" i="2"/>
  <c r="AD42" i="1"/>
  <c r="AE70" i="1" s="1"/>
  <c r="AD12" i="1" l="1"/>
  <c r="K55" i="1"/>
  <c r="J54" i="1"/>
  <c r="I54" i="1"/>
  <c r="H54" i="1"/>
  <c r="G54" i="1"/>
  <c r="K50" i="1"/>
  <c r="K49" i="1"/>
  <c r="K48" i="1"/>
  <c r="K54" i="1" s="1"/>
  <c r="I40" i="2" l="1"/>
  <c r="I32" i="2"/>
  <c r="Z8" i="2"/>
  <c r="Y8" i="2"/>
  <c r="L11" i="2" s="1"/>
  <c r="X8" i="2"/>
  <c r="I11" i="2" s="1"/>
  <c r="M6" i="2"/>
  <c r="Z4" i="2"/>
  <c r="O6" i="2" s="1"/>
  <c r="Y4" i="2"/>
  <c r="L6" i="2" s="1"/>
  <c r="W4" i="2"/>
  <c r="F6" i="2" s="1"/>
  <c r="V3" i="2"/>
  <c r="J6" i="2" l="1"/>
  <c r="I20" i="2"/>
  <c r="I19" i="2"/>
  <c r="O47" i="2" l="1"/>
  <c r="O40" i="2"/>
  <c r="O34" i="2" s="1"/>
  <c r="O27" i="2"/>
  <c r="L27" i="2"/>
  <c r="O25" i="2"/>
  <c r="L47" i="2"/>
  <c r="L40" i="2"/>
  <c r="L34" i="2"/>
  <c r="L32" i="2"/>
  <c r="L25" i="2"/>
  <c r="I45" i="2"/>
  <c r="F39" i="2"/>
  <c r="I34" i="2"/>
  <c r="I27" i="2"/>
  <c r="I25" i="2"/>
  <c r="I7" i="2"/>
  <c r="I5" i="2"/>
  <c r="X4" i="2" s="1"/>
  <c r="I6" i="2" s="1"/>
  <c r="F40" i="2"/>
  <c r="F34" i="2" s="1"/>
  <c r="F27" i="2"/>
  <c r="F25" i="2"/>
  <c r="F20" i="2"/>
  <c r="F18" i="2" s="1"/>
  <c r="C13" i="2"/>
  <c r="U18" i="2" s="1"/>
  <c r="F10" i="2"/>
  <c r="W8" i="2" s="1"/>
  <c r="F7" i="2"/>
  <c r="F9" i="2" s="1"/>
  <c r="C32" i="2"/>
  <c r="K56" i="1"/>
  <c r="C25" i="2" s="1"/>
  <c r="K51" i="1"/>
  <c r="C20" i="2"/>
  <c r="C19" i="2"/>
  <c r="K7" i="1"/>
  <c r="C6" i="2" s="1"/>
  <c r="U11" i="2" s="1"/>
  <c r="K6" i="1"/>
  <c r="M48" i="2"/>
  <c r="J48" i="2"/>
  <c r="G48" i="2"/>
  <c r="D48" i="2"/>
  <c r="M39" i="2"/>
  <c r="J39" i="2"/>
  <c r="G39" i="2"/>
  <c r="D39" i="2"/>
  <c r="T43" i="2"/>
  <c r="U43" i="2"/>
  <c r="U42" i="2"/>
  <c r="T42" i="2"/>
  <c r="U41" i="2"/>
  <c r="T41" i="2"/>
  <c r="U36" i="2"/>
  <c r="T36" i="2"/>
  <c r="U35" i="2"/>
  <c r="T35" i="2"/>
  <c r="U34" i="2"/>
  <c r="T34" i="2"/>
  <c r="U31" i="2"/>
  <c r="T31" i="2"/>
  <c r="M25" i="2"/>
  <c r="J25" i="2"/>
  <c r="G25" i="2"/>
  <c r="D25" i="2"/>
  <c r="U28" i="2"/>
  <c r="T28" i="2"/>
  <c r="U27" i="2"/>
  <c r="T27" i="2"/>
  <c r="U26" i="2"/>
  <c r="T26" i="2"/>
  <c r="M19" i="2"/>
  <c r="M18" i="2" s="1"/>
  <c r="G19" i="2"/>
  <c r="G18" i="2" s="1"/>
  <c r="D19" i="2"/>
  <c r="D18" i="2" s="1"/>
  <c r="D50" i="2" s="1"/>
  <c r="J18" i="2"/>
  <c r="J50" i="2" s="1"/>
  <c r="I18" i="2"/>
  <c r="I50" i="2" s="1"/>
  <c r="O39" i="2"/>
  <c r="L39" i="2"/>
  <c r="I39" i="2"/>
  <c r="B39" i="2"/>
  <c r="U21" i="2"/>
  <c r="T21" i="2"/>
  <c r="U20" i="2"/>
  <c r="T20" i="2"/>
  <c r="U19" i="2"/>
  <c r="T19" i="2"/>
  <c r="M12" i="2"/>
  <c r="J12" i="2"/>
  <c r="G12" i="2"/>
  <c r="D12" i="2"/>
  <c r="O12" i="2"/>
  <c r="L12" i="2"/>
  <c r="O9" i="2"/>
  <c r="M7" i="2"/>
  <c r="M9" i="2" s="1"/>
  <c r="L9" i="2"/>
  <c r="J7" i="2"/>
  <c r="J9" i="2" s="1"/>
  <c r="G7" i="2"/>
  <c r="G9" i="2" s="1"/>
  <c r="D7" i="2"/>
  <c r="D9" i="2" s="1"/>
  <c r="I47" i="2" l="1"/>
  <c r="I12" i="2"/>
  <c r="F12" i="2"/>
  <c r="U37" i="2"/>
  <c r="G50" i="2"/>
  <c r="G52" i="2"/>
  <c r="F50" i="2"/>
  <c r="F49" i="2"/>
  <c r="F52" i="2"/>
  <c r="F28" i="2"/>
  <c r="F35" i="2" s="1"/>
  <c r="D35" i="2"/>
  <c r="U24" i="2"/>
  <c r="C18" i="2"/>
  <c r="U25" i="2"/>
  <c r="F47" i="2"/>
  <c r="C24" i="2"/>
  <c r="U30" i="2"/>
  <c r="T30" i="2"/>
  <c r="O18" i="2"/>
  <c r="O50" i="2" s="1"/>
  <c r="B18" i="2"/>
  <c r="I52" i="2"/>
  <c r="I28" i="2"/>
  <c r="I35" i="2" s="1"/>
  <c r="I49" i="2"/>
  <c r="L18" i="2"/>
  <c r="L49" i="2" s="1"/>
  <c r="T37" i="2"/>
  <c r="T38" i="2"/>
  <c r="B12" i="2"/>
  <c r="B9" i="2"/>
  <c r="U38" i="2"/>
  <c r="T48" i="2"/>
  <c r="I9" i="2"/>
  <c r="M50" i="2"/>
  <c r="M52" i="2"/>
  <c r="T11" i="2"/>
  <c r="T18" i="2"/>
  <c r="U48" i="2"/>
  <c r="T24" i="2"/>
  <c r="T25" i="2"/>
  <c r="D52" i="2"/>
  <c r="J52" i="2"/>
  <c r="T29" i="2" l="1"/>
  <c r="U29" i="2"/>
  <c r="O49" i="2"/>
  <c r="O28" i="2"/>
  <c r="O35" i="2" s="1"/>
  <c r="T23" i="2"/>
  <c r="L52" i="2"/>
  <c r="L50" i="2"/>
  <c r="U23" i="2"/>
  <c r="L28" i="2"/>
  <c r="AC68" i="1"/>
  <c r="C45" i="2" s="1"/>
  <c r="AC66" i="1"/>
  <c r="C44" i="2" s="1"/>
  <c r="AC65" i="1"/>
  <c r="AC55" i="1"/>
  <c r="AC72" i="1" s="1"/>
  <c r="AC30" i="1"/>
  <c r="AB30" i="1"/>
  <c r="AB26" i="1" s="1"/>
  <c r="L8" i="1"/>
  <c r="AD67" i="1" s="1"/>
  <c r="L5" i="1"/>
  <c r="K39" i="1"/>
  <c r="K38" i="1"/>
  <c r="K23" i="1"/>
  <c r="AD69" i="1" l="1"/>
  <c r="E5" i="2"/>
  <c r="T49" i="2"/>
  <c r="U49" i="2"/>
  <c r="T50" i="2"/>
  <c r="U50" i="2"/>
  <c r="AC58" i="1"/>
  <c r="L13" i="1"/>
  <c r="O17" i="1" s="1"/>
  <c r="AB68" i="1"/>
  <c r="AA68" i="1"/>
  <c r="Z68" i="1"/>
  <c r="Y68" i="1"/>
  <c r="X68" i="1"/>
  <c r="W68" i="1"/>
  <c r="V68" i="1"/>
  <c r="U68" i="1"/>
  <c r="T68" i="1"/>
  <c r="AB66" i="1"/>
  <c r="AA66" i="1"/>
  <c r="Z66" i="1"/>
  <c r="K61" i="1"/>
  <c r="J61" i="1"/>
  <c r="I61" i="1"/>
  <c r="H61" i="1"/>
  <c r="G61" i="1"/>
  <c r="E61" i="1"/>
  <c r="D61" i="1"/>
  <c r="C61" i="1"/>
  <c r="B61" i="1"/>
  <c r="AB65" i="1"/>
  <c r="AA65" i="1"/>
  <c r="Z65" i="1"/>
  <c r="Y65" i="1"/>
  <c r="X65" i="1"/>
  <c r="W65" i="1"/>
  <c r="V65" i="1"/>
  <c r="U65" i="1"/>
  <c r="T65" i="1"/>
  <c r="K59" i="1"/>
  <c r="C27" i="2" s="1"/>
  <c r="J59" i="1"/>
  <c r="I59" i="1"/>
  <c r="H59" i="1"/>
  <c r="G59" i="1"/>
  <c r="E59" i="1"/>
  <c r="D59" i="1"/>
  <c r="C59" i="1"/>
  <c r="B59" i="1"/>
  <c r="D55" i="1"/>
  <c r="C55" i="1"/>
  <c r="AB55" i="1"/>
  <c r="AB72" i="1" s="1"/>
  <c r="AA55" i="1"/>
  <c r="AA72" i="1" s="1"/>
  <c r="Z55" i="1"/>
  <c r="Z72" i="1" s="1"/>
  <c r="Y55" i="1"/>
  <c r="Y72" i="1" s="1"/>
  <c r="X55" i="1"/>
  <c r="X72" i="1" s="1"/>
  <c r="W55" i="1"/>
  <c r="W72" i="1" s="1"/>
  <c r="V55" i="1"/>
  <c r="V72" i="1" s="1"/>
  <c r="U55" i="1"/>
  <c r="U72" i="1" s="1"/>
  <c r="T55" i="1"/>
  <c r="T72" i="1" s="1"/>
  <c r="J51" i="1"/>
  <c r="I51" i="1"/>
  <c r="G51" i="1"/>
  <c r="E51" i="1"/>
  <c r="D51" i="1"/>
  <c r="C51" i="1"/>
  <c r="B51" i="1"/>
  <c r="H50" i="1"/>
  <c r="H51" i="1" s="1"/>
  <c r="C47" i="1"/>
  <c r="E46" i="1"/>
  <c r="D46" i="1"/>
  <c r="C46" i="1"/>
  <c r="J39" i="1"/>
  <c r="I39" i="1"/>
  <c r="H39" i="1"/>
  <c r="G39" i="1"/>
  <c r="J38" i="1"/>
  <c r="I38" i="1"/>
  <c r="H38" i="1"/>
  <c r="G38" i="1"/>
  <c r="E38" i="1"/>
  <c r="AA35" i="1"/>
  <c r="Z35" i="1"/>
  <c r="Y35" i="1"/>
  <c r="X35" i="1"/>
  <c r="W35" i="1"/>
  <c r="V35" i="1"/>
  <c r="V49" i="1" s="1"/>
  <c r="U35" i="1"/>
  <c r="U49" i="1" s="1"/>
  <c r="T35" i="1"/>
  <c r="T49" i="1" s="1"/>
  <c r="AC26" i="1"/>
  <c r="AA26" i="1"/>
  <c r="Z26" i="1"/>
  <c r="Y26" i="1"/>
  <c r="X26" i="1"/>
  <c r="W26" i="1"/>
  <c r="V26" i="1"/>
  <c r="U26" i="1"/>
  <c r="T26" i="1"/>
  <c r="J23" i="1"/>
  <c r="I23" i="1"/>
  <c r="AC19" i="1"/>
  <c r="AB19" i="1"/>
  <c r="AB48" i="1" s="1"/>
  <c r="AA19" i="1"/>
  <c r="Z19" i="1"/>
  <c r="Y19" i="1"/>
  <c r="X19" i="1"/>
  <c r="W19" i="1"/>
  <c r="E55" i="1" s="1"/>
  <c r="AB10" i="1"/>
  <c r="AA10" i="1"/>
  <c r="Z10" i="1"/>
  <c r="Y10" i="1"/>
  <c r="X10" i="1"/>
  <c r="F60" i="1" s="1"/>
  <c r="F62" i="1" s="1"/>
  <c r="W10" i="1"/>
  <c r="V10" i="1"/>
  <c r="U10" i="1"/>
  <c r="T10" i="1"/>
  <c r="AC10" i="1"/>
  <c r="K8" i="1"/>
  <c r="AC67" i="1" s="1"/>
  <c r="J8" i="1"/>
  <c r="AB67" i="1" s="1"/>
  <c r="I8" i="1"/>
  <c r="AA67" i="1" s="1"/>
  <c r="H8" i="1"/>
  <c r="Z67" i="1" s="1"/>
  <c r="G8" i="1"/>
  <c r="Y67" i="1" s="1"/>
  <c r="X67" i="1"/>
  <c r="E8" i="1"/>
  <c r="W67" i="1" s="1"/>
  <c r="D8" i="1"/>
  <c r="V67" i="1" s="1"/>
  <c r="C8" i="1"/>
  <c r="U67" i="1" s="1"/>
  <c r="B8" i="1"/>
  <c r="T67" i="1" s="1"/>
  <c r="J7" i="1"/>
  <c r="I7" i="1"/>
  <c r="AC6" i="1"/>
  <c r="AB6" i="1"/>
  <c r="AA6" i="1"/>
  <c r="Z6" i="1"/>
  <c r="Y6" i="1"/>
  <c r="X6" i="1"/>
  <c r="W6" i="1"/>
  <c r="V6" i="1"/>
  <c r="V56" i="1" s="1"/>
  <c r="V59" i="1" s="1"/>
  <c r="U6" i="1"/>
  <c r="U56" i="1" s="1"/>
  <c r="U59" i="1" s="1"/>
  <c r="T6" i="1"/>
  <c r="T56" i="1" s="1"/>
  <c r="T59" i="1" s="1"/>
  <c r="J6" i="1"/>
  <c r="I6" i="1"/>
  <c r="K5" i="1"/>
  <c r="C5" i="2" s="1"/>
  <c r="J5" i="1"/>
  <c r="I5" i="1"/>
  <c r="H5" i="1"/>
  <c r="H13" i="1" s="1"/>
  <c r="G5" i="1"/>
  <c r="H6" i="1" s="1"/>
  <c r="X66" i="1"/>
  <c r="E5" i="1"/>
  <c r="F6" i="1" s="1"/>
  <c r="D5" i="1"/>
  <c r="V66" i="1" s="1"/>
  <c r="C5" i="1"/>
  <c r="F7" i="1" s="1"/>
  <c r="B5" i="1"/>
  <c r="T66" i="1" s="1"/>
  <c r="AC49" i="1" l="1"/>
  <c r="AB64" i="1"/>
  <c r="J13" i="1"/>
  <c r="M15" i="1"/>
  <c r="Z42" i="1"/>
  <c r="Z12" i="1" s="1"/>
  <c r="X11" i="1"/>
  <c r="C52" i="1"/>
  <c r="D47" i="1" s="1"/>
  <c r="D52" i="1" s="1"/>
  <c r="E47" i="1" s="1"/>
  <c r="E52" i="1" s="1"/>
  <c r="F47" i="1" s="1"/>
  <c r="F52" i="1" s="1"/>
  <c r="AC48" i="1"/>
  <c r="K60" i="1"/>
  <c r="K62" i="1" s="1"/>
  <c r="C52" i="2"/>
  <c r="AC64" i="1"/>
  <c r="C50" i="2" s="1"/>
  <c r="AC71" i="1"/>
  <c r="AC63" i="1"/>
  <c r="C49" i="2" s="1"/>
  <c r="X69" i="1"/>
  <c r="AB11" i="1"/>
  <c r="V4" i="2"/>
  <c r="U10" i="2"/>
  <c r="T10" i="2"/>
  <c r="AC11" i="1"/>
  <c r="C17" i="2"/>
  <c r="AC56" i="1"/>
  <c r="V42" i="1"/>
  <c r="V12" i="1" s="1"/>
  <c r="L22" i="1"/>
  <c r="E7" i="2"/>
  <c r="AD60" i="1"/>
  <c r="C46" i="2"/>
  <c r="AC69" i="1"/>
  <c r="C47" i="2" s="1"/>
  <c r="U32" i="2"/>
  <c r="T32" i="2"/>
  <c r="U42" i="1"/>
  <c r="U12" i="1" s="1"/>
  <c r="Y42" i="1"/>
  <c r="V11" i="1"/>
  <c r="AC42" i="1"/>
  <c r="AD70" i="1" s="1"/>
  <c r="Y11" i="1"/>
  <c r="AA48" i="1"/>
  <c r="Y48" i="1"/>
  <c r="L14" i="1"/>
  <c r="K13" i="1"/>
  <c r="N17" i="1" s="1"/>
  <c r="I13" i="1"/>
  <c r="B13" i="1"/>
  <c r="B14" i="1" s="1"/>
  <c r="Z60" i="1"/>
  <c r="H14" i="1"/>
  <c r="H22" i="1"/>
  <c r="W66" i="1"/>
  <c r="W69" i="1" s="1"/>
  <c r="E13" i="1"/>
  <c r="F15" i="1" s="1"/>
  <c r="E6" i="1"/>
  <c r="Z49" i="1"/>
  <c r="Z56" i="1"/>
  <c r="Z59" i="1" s="1"/>
  <c r="B60" i="1"/>
  <c r="T13" i="1" s="1"/>
  <c r="T63" i="1"/>
  <c r="T71" i="1"/>
  <c r="T64" i="1"/>
  <c r="X63" i="1"/>
  <c r="X71" i="1"/>
  <c r="X64" i="1"/>
  <c r="J60" i="1"/>
  <c r="J62" i="1" s="1"/>
  <c r="AB63" i="1"/>
  <c r="AB71" i="1"/>
  <c r="D13" i="1"/>
  <c r="H17" i="1" s="1"/>
  <c r="T42" i="1"/>
  <c r="X48" i="1"/>
  <c r="X42" i="1"/>
  <c r="AB42" i="1"/>
  <c r="AB12" i="1" s="1"/>
  <c r="V70" i="1"/>
  <c r="Z69" i="1"/>
  <c r="E60" i="1"/>
  <c r="E62" i="1" s="1"/>
  <c r="W63" i="1"/>
  <c r="W71" i="1"/>
  <c r="W64" i="1"/>
  <c r="I60" i="1"/>
  <c r="I62" i="1" s="1"/>
  <c r="AA63" i="1"/>
  <c r="AA71" i="1"/>
  <c r="AA64" i="1"/>
  <c r="AA56" i="1"/>
  <c r="AA59" i="1" s="1"/>
  <c r="AA49" i="1"/>
  <c r="AA11" i="1"/>
  <c r="U71" i="1"/>
  <c r="U64" i="1"/>
  <c r="C60" i="1"/>
  <c r="U13" i="1" s="1"/>
  <c r="U63" i="1"/>
  <c r="Y71" i="1"/>
  <c r="Y64" i="1"/>
  <c r="G60" i="1"/>
  <c r="G62" i="1" s="1"/>
  <c r="Y63" i="1"/>
  <c r="T11" i="1"/>
  <c r="AB69" i="1"/>
  <c r="AA69" i="1"/>
  <c r="D6" i="1"/>
  <c r="Y49" i="1"/>
  <c r="Y56" i="1"/>
  <c r="Y59" i="1" s="1"/>
  <c r="W56" i="1"/>
  <c r="W59" i="1" s="1"/>
  <c r="W49" i="1"/>
  <c r="W11" i="1"/>
  <c r="G7" i="1"/>
  <c r="C13" i="1"/>
  <c r="U66" i="1"/>
  <c r="U70" i="1" s="1"/>
  <c r="G13" i="1"/>
  <c r="Y66" i="1"/>
  <c r="Y69" i="1" s="1"/>
  <c r="G6" i="1"/>
  <c r="X56" i="1"/>
  <c r="X59" i="1" s="1"/>
  <c r="X49" i="1"/>
  <c r="AB56" i="1"/>
  <c r="AB59" i="1" s="1"/>
  <c r="AB49" i="1"/>
  <c r="H7" i="1"/>
  <c r="D60" i="1"/>
  <c r="V13" i="1" s="1"/>
  <c r="V63" i="1"/>
  <c r="V71" i="1"/>
  <c r="V64" i="1"/>
  <c r="H60" i="1"/>
  <c r="H62" i="1" s="1"/>
  <c r="Z63" i="1"/>
  <c r="Z71" i="1"/>
  <c r="Z64" i="1"/>
  <c r="U11" i="1"/>
  <c r="Z11" i="1"/>
  <c r="Z48" i="1"/>
  <c r="T70" i="1"/>
  <c r="W42" i="1"/>
  <c r="AA42" i="1"/>
  <c r="U58" i="1"/>
  <c r="Y58" i="1"/>
  <c r="W48" i="1"/>
  <c r="V58" i="1"/>
  <c r="Z58" i="1"/>
  <c r="W58" i="1"/>
  <c r="AA58" i="1"/>
  <c r="T58" i="1"/>
  <c r="X58" i="1"/>
  <c r="AB58" i="1"/>
  <c r="AB60" i="1" l="1"/>
  <c r="J14" i="1"/>
  <c r="M17" i="1"/>
  <c r="J22" i="1"/>
  <c r="J26" i="1" s="1"/>
  <c r="J29" i="1" s="1"/>
  <c r="K14" i="1"/>
  <c r="I22" i="1"/>
  <c r="I25" i="1" s="1"/>
  <c r="V48" i="1"/>
  <c r="U48" i="1"/>
  <c r="Z70" i="1"/>
  <c r="B22" i="1"/>
  <c r="T62" i="1" s="1"/>
  <c r="W70" i="1"/>
  <c r="G47" i="1"/>
  <c r="G52" i="1" s="1"/>
  <c r="H47" i="1" s="1"/>
  <c r="H52" i="1" s="1"/>
  <c r="I47" i="1" s="1"/>
  <c r="I52" i="1" s="1"/>
  <c r="J47" i="1" s="1"/>
  <c r="J52" i="1" s="1"/>
  <c r="K47" i="1" s="1"/>
  <c r="K52" i="1" s="1"/>
  <c r="I15" i="1"/>
  <c r="L17" i="1"/>
  <c r="J15" i="1"/>
  <c r="I14" i="1"/>
  <c r="T60" i="1"/>
  <c r="U22" i="2"/>
  <c r="T22" i="2"/>
  <c r="C39" i="2"/>
  <c r="L15" i="1"/>
  <c r="AC59" i="1"/>
  <c r="C34" i="2" s="1"/>
  <c r="C40" i="2"/>
  <c r="AA60" i="1"/>
  <c r="U54" i="2"/>
  <c r="T54" i="2"/>
  <c r="Y12" i="1"/>
  <c r="U55" i="2"/>
  <c r="T55" i="2"/>
  <c r="H15" i="1"/>
  <c r="Y70" i="1"/>
  <c r="U57" i="2"/>
  <c r="T57" i="2"/>
  <c r="L26" i="1"/>
  <c r="AD62" i="1"/>
  <c r="L25" i="1"/>
  <c r="T52" i="2"/>
  <c r="U52" i="2"/>
  <c r="K22" i="1"/>
  <c r="K15" i="1"/>
  <c r="K17" i="1"/>
  <c r="C8" i="2" s="1"/>
  <c r="C7" i="2"/>
  <c r="C51" i="2"/>
  <c r="T51" i="2"/>
  <c r="U51" i="2"/>
  <c r="AC12" i="1"/>
  <c r="AC70" i="1"/>
  <c r="C48" i="2" s="1"/>
  <c r="C28" i="2"/>
  <c r="AC60" i="1"/>
  <c r="C35" i="2" s="1"/>
  <c r="V60" i="1"/>
  <c r="T48" i="1"/>
  <c r="T12" i="1"/>
  <c r="W60" i="1"/>
  <c r="E22" i="1"/>
  <c r="E15" i="1"/>
  <c r="E14" i="1"/>
  <c r="J17" i="1"/>
  <c r="AA12" i="1"/>
  <c r="AB70" i="1"/>
  <c r="U60" i="1"/>
  <c r="D62" i="1"/>
  <c r="I17" i="1"/>
  <c r="X12" i="1"/>
  <c r="X60" i="1"/>
  <c r="I56" i="1"/>
  <c r="J56" i="1"/>
  <c r="G22" i="1"/>
  <c r="Y60" i="1"/>
  <c r="G15" i="1"/>
  <c r="G14" i="1"/>
  <c r="X70" i="1"/>
  <c r="W12" i="1"/>
  <c r="C22" i="1"/>
  <c r="C14" i="1"/>
  <c r="D15" i="1"/>
  <c r="D14" i="1"/>
  <c r="D22" i="1"/>
  <c r="Z62" i="1"/>
  <c r="H56" i="1"/>
  <c r="H26" i="1"/>
  <c r="H29" i="1" s="1"/>
  <c r="H25" i="1"/>
  <c r="AA70" i="1"/>
  <c r="J25" i="1" l="1"/>
  <c r="AB62" i="1"/>
  <c r="M34" i="1"/>
  <c r="AA62" i="1"/>
  <c r="I26" i="1"/>
  <c r="L29" i="1"/>
  <c r="O34" i="1" s="1"/>
  <c r="B26" i="1"/>
  <c r="B29" i="1" s="1"/>
  <c r="B31" i="1" s="1"/>
  <c r="T45" i="2"/>
  <c r="U45" i="2"/>
  <c r="T39" i="2"/>
  <c r="U39" i="2"/>
  <c r="U44" i="2"/>
  <c r="T44" i="2"/>
  <c r="U56" i="2"/>
  <c r="T56" i="2"/>
  <c r="C9" i="2"/>
  <c r="U12" i="2"/>
  <c r="T12" i="2"/>
  <c r="U13" i="2"/>
  <c r="T13" i="2"/>
  <c r="K26" i="1"/>
  <c r="AC62" i="1"/>
  <c r="C42" i="2" s="1"/>
  <c r="K25" i="1"/>
  <c r="U53" i="2"/>
  <c r="T53" i="2"/>
  <c r="U40" i="2"/>
  <c r="T40" i="2"/>
  <c r="U33" i="2"/>
  <c r="T33" i="2"/>
  <c r="E26" i="1"/>
  <c r="E29" i="1" s="1"/>
  <c r="F33" i="1" s="1"/>
  <c r="W62" i="1"/>
  <c r="E54" i="1"/>
  <c r="E56" i="1" s="1"/>
  <c r="E25" i="1"/>
  <c r="Y62" i="1"/>
  <c r="G56" i="1"/>
  <c r="G25" i="1"/>
  <c r="G26" i="1"/>
  <c r="G29" i="1" s="1"/>
  <c r="H33" i="1" s="1"/>
  <c r="X62" i="1"/>
  <c r="Z61" i="1"/>
  <c r="H31" i="1"/>
  <c r="H36" i="1"/>
  <c r="AB61" i="1"/>
  <c r="J36" i="1"/>
  <c r="J31" i="1"/>
  <c r="V62" i="1"/>
  <c r="D54" i="1"/>
  <c r="D56" i="1" s="1"/>
  <c r="D25" i="1"/>
  <c r="D26" i="1"/>
  <c r="D29" i="1" s="1"/>
  <c r="U62" i="1"/>
  <c r="C54" i="1"/>
  <c r="C56" i="1" s="1"/>
  <c r="C25" i="1"/>
  <c r="C26" i="1"/>
  <c r="C29" i="1" s="1"/>
  <c r="F34" i="1" s="1"/>
  <c r="M33" i="1" l="1"/>
  <c r="I29" i="1"/>
  <c r="I34" i="1" s="1"/>
  <c r="L31" i="1"/>
  <c r="L36" i="1"/>
  <c r="B36" i="1"/>
  <c r="T61" i="1"/>
  <c r="E10" i="2"/>
  <c r="AD61" i="1"/>
  <c r="J34" i="1"/>
  <c r="K29" i="1"/>
  <c r="N34" i="1" s="1"/>
  <c r="U14" i="2"/>
  <c r="T14" i="2"/>
  <c r="T47" i="2"/>
  <c r="U47" i="2"/>
  <c r="E36" i="1"/>
  <c r="W61" i="1"/>
  <c r="E33" i="1"/>
  <c r="E31" i="1"/>
  <c r="Y61" i="1"/>
  <c r="G33" i="1"/>
  <c r="G31" i="1"/>
  <c r="G36" i="1"/>
  <c r="G34" i="1"/>
  <c r="V61" i="1"/>
  <c r="D36" i="1"/>
  <c r="D33" i="1"/>
  <c r="D31" i="1"/>
  <c r="X61" i="1"/>
  <c r="U61" i="1"/>
  <c r="C31" i="1"/>
  <c r="C36" i="1"/>
  <c r="H34" i="1"/>
  <c r="L34" i="1" l="1"/>
  <c r="AA61" i="1"/>
  <c r="I36" i="1"/>
  <c r="J33" i="1"/>
  <c r="I33" i="1"/>
  <c r="I31" i="1"/>
  <c r="L33" i="1"/>
  <c r="K34" i="1"/>
  <c r="C11" i="2" s="1"/>
  <c r="K33" i="1"/>
  <c r="C10" i="2"/>
  <c r="AC61" i="1"/>
  <c r="C41" i="2" s="1"/>
  <c r="K36" i="1"/>
  <c r="K31" i="1"/>
  <c r="C12" i="2" l="1"/>
  <c r="T15" i="2"/>
  <c r="U15" i="2"/>
  <c r="T46" i="2"/>
  <c r="U46" i="2"/>
  <c r="U16" i="2"/>
  <c r="T16" i="2"/>
  <c r="T17" i="2" l="1"/>
  <c r="U17" i="2"/>
</calcChain>
</file>

<file path=xl/sharedStrings.xml><?xml version="1.0" encoding="utf-8"?>
<sst xmlns="http://schemas.openxmlformats.org/spreadsheetml/2006/main" count="362" uniqueCount="173">
  <si>
    <t>Shemaroo Entertainment Limited (Consolidated)</t>
  </si>
  <si>
    <t>Income Statement</t>
  </si>
  <si>
    <t>Balance Sheet</t>
  </si>
  <si>
    <t>Y/E, Mar (Rs. mn)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</si>
  <si>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</si>
  <si>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</si>
  <si>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</si>
  <si>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</si>
  <si>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</si>
  <si>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</si>
  <si>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</si>
  <si>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</si>
  <si>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</si>
  <si>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Revenue from Operations</t>
  </si>
  <si>
    <t>Share Capital</t>
  </si>
  <si>
    <t>Net sales</t>
  </si>
  <si>
    <t>Growth (%)</t>
  </si>
  <si>
    <t>Networth/Shareholders Fund/ Book Value</t>
  </si>
  <si>
    <t>CAGR (%)</t>
  </si>
  <si>
    <t>Minority Interest/Non-controlling Interest</t>
  </si>
  <si>
    <t>Expenditure</t>
  </si>
  <si>
    <t>LT Borrowings</t>
  </si>
  <si>
    <t>ST Borrowings</t>
  </si>
  <si>
    <t>Change in Inventory and finished good</t>
  </si>
  <si>
    <t>Loans</t>
  </si>
  <si>
    <t>Employee benefit expense</t>
  </si>
  <si>
    <t>Capital Employed</t>
  </si>
  <si>
    <t>Other expenditure</t>
  </si>
  <si>
    <t>EBITDA</t>
  </si>
  <si>
    <t>Gross Block</t>
  </si>
  <si>
    <t>EBITDA margin (%)</t>
  </si>
  <si>
    <t>Tangible Assets</t>
  </si>
  <si>
    <t>Intangible assets / Goodwill</t>
  </si>
  <si>
    <t>Other Income</t>
  </si>
  <si>
    <t>Rights of Use Assets</t>
  </si>
  <si>
    <t>Depreciation</t>
  </si>
  <si>
    <t>Fixed Assets</t>
  </si>
  <si>
    <t>Finance Cost</t>
  </si>
  <si>
    <t>Capital Work-in-Progress</t>
  </si>
  <si>
    <t>Extra-Ordinary Item</t>
  </si>
  <si>
    <t>PBT</t>
  </si>
  <si>
    <t>Non current Investment</t>
  </si>
  <si>
    <t>Tax</t>
  </si>
  <si>
    <t>Exceptional Items</t>
  </si>
  <si>
    <t>Deferred Tax Assets</t>
  </si>
  <si>
    <t>Effective tax rate (%)</t>
  </si>
  <si>
    <t>Other Financial Assets</t>
  </si>
  <si>
    <t>PAT</t>
  </si>
  <si>
    <t>Other Non-Current assets</t>
  </si>
  <si>
    <t>Minority Interest</t>
  </si>
  <si>
    <t>CURRENT ASSETS, LOANS &amp; ADVANCES</t>
  </si>
  <si>
    <t>Share of profit/ (loss) in associate company</t>
  </si>
  <si>
    <t>Inventories</t>
  </si>
  <si>
    <t>Net Profit</t>
  </si>
  <si>
    <t>Trade receivables</t>
  </si>
  <si>
    <t>PAT Margin (%)</t>
  </si>
  <si>
    <t>Other current assets</t>
  </si>
  <si>
    <t>Other Comprehensive Income</t>
  </si>
  <si>
    <t>Total Comprehensive Income</t>
  </si>
  <si>
    <t>CURRENT LIABILITIES &amp; PROVISIONS</t>
  </si>
  <si>
    <t>EPS</t>
  </si>
  <si>
    <t>Other Current Liabilities</t>
  </si>
  <si>
    <t>Provisions</t>
  </si>
  <si>
    <t>Trade payables</t>
  </si>
  <si>
    <t>Other Financial Liabilites</t>
  </si>
  <si>
    <t>Current Tax Liabilites</t>
  </si>
  <si>
    <t>Cash Flow</t>
  </si>
  <si>
    <t>NET CURRENT ASSETS</t>
  </si>
  <si>
    <t>FY 16</t>
  </si>
  <si>
    <t>FY 17</t>
  </si>
  <si>
    <t>Deffered tax liabilities</t>
  </si>
  <si>
    <t>Cash and Cash Equivalents at Beginning of the year</t>
  </si>
  <si>
    <t>Long Term Provisions</t>
  </si>
  <si>
    <t>Cash Flow From Operating Activities</t>
  </si>
  <si>
    <t>Lease Liabilities</t>
  </si>
  <si>
    <t>Cash Flow from Investing Activities</t>
  </si>
  <si>
    <t>TOTAL ASSETS</t>
  </si>
  <si>
    <t>Cash Flow From Financing Activities</t>
  </si>
  <si>
    <t>TOTAL LIABILITIES</t>
  </si>
  <si>
    <t>Net Inc./(Dec.) in Cash and Cash Equivalent</t>
  </si>
  <si>
    <t>Cash and Cash Equivalents at End of the year</t>
  </si>
  <si>
    <t xml:space="preserve">Y/E, Mar </t>
  </si>
  <si>
    <t>EPS (Rs)</t>
  </si>
  <si>
    <t>BVPS (Rs)</t>
  </si>
  <si>
    <t>DPS (Rs)</t>
  </si>
  <si>
    <t>P/E (x)</t>
  </si>
  <si>
    <t xml:space="preserve">Operating Cash Inflow </t>
  </si>
  <si>
    <t>P/BV (x)</t>
  </si>
  <si>
    <t xml:space="preserve">Capital Expenditure </t>
  </si>
  <si>
    <t>EV/EBIDTA (x)</t>
  </si>
  <si>
    <t>FCF</t>
  </si>
  <si>
    <t>RoE (%)</t>
  </si>
  <si>
    <t>RoCE (%)</t>
  </si>
  <si>
    <t>No. of shares</t>
  </si>
  <si>
    <t>Gross D/E(x)</t>
  </si>
  <si>
    <t>Net D/E (x)</t>
  </si>
  <si>
    <t>Debt</t>
  </si>
  <si>
    <t>Dividend Yield</t>
  </si>
  <si>
    <t>Cash</t>
  </si>
  <si>
    <t>Debtor Days</t>
  </si>
  <si>
    <t>EV</t>
  </si>
  <si>
    <t>Creditor Days</t>
  </si>
  <si>
    <t>Inventory Days</t>
  </si>
  <si>
    <t>Cash Conversion cycle</t>
  </si>
  <si>
    <t>Working Capital Days</t>
  </si>
  <si>
    <t>Interest cost</t>
  </si>
  <si>
    <t>Dividend payout ratio</t>
  </si>
  <si>
    <t>FY20</t>
  </si>
  <si>
    <t>Current tas assets (Net)</t>
  </si>
  <si>
    <t>Lease liability</t>
  </si>
  <si>
    <t>Peer Comparison Analysis - Shemaroo Entertainment Ltd.</t>
  </si>
  <si>
    <t>Shemaroo</t>
  </si>
  <si>
    <t>Eros</t>
  </si>
  <si>
    <t>Zee</t>
  </si>
  <si>
    <t>Saregama</t>
  </si>
  <si>
    <t>Balaji</t>
  </si>
  <si>
    <t>P&amp;L Comparision (As on FY19)</t>
  </si>
  <si>
    <t>Net Sales</t>
  </si>
  <si>
    <t>3 Years CAGR (%)</t>
  </si>
  <si>
    <t>EBITDA Margin (%)</t>
  </si>
  <si>
    <t>Balance Sheet Comparision</t>
  </si>
  <si>
    <t>Total Networth</t>
  </si>
  <si>
    <t>Total Debt</t>
  </si>
  <si>
    <t>Long Term</t>
  </si>
  <si>
    <t>Short Term</t>
  </si>
  <si>
    <t>CFO</t>
  </si>
  <si>
    <t>Market Cap</t>
  </si>
  <si>
    <t>Enterprise Value(Mn)</t>
  </si>
  <si>
    <t>VALUATIONS COMPARISION</t>
  </si>
  <si>
    <t>Stock P:E</t>
  </si>
  <si>
    <t>N/A</t>
  </si>
  <si>
    <t>Price:Book Value</t>
  </si>
  <si>
    <t>EV/ EBITDA</t>
  </si>
  <si>
    <t>OPERATIONAL RATIOS COMPARISION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</si>
  <si>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</si>
  <si>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</si>
  <si>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</si>
  <si>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</si>
  <si>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</si>
  <si>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</si>
  <si>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</si>
  <si>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</si>
  <si>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</si>
  <si>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</si>
  <si>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</si>
  <si>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</si>
  <si>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No of Shares</t>
  </si>
  <si>
    <t>cash</t>
  </si>
  <si>
    <t>Revenue CAGR</t>
  </si>
  <si>
    <t>PAT 2017</t>
  </si>
  <si>
    <t>NA</t>
  </si>
  <si>
    <t>EBITDA  CAGR2017</t>
  </si>
  <si>
    <t>CMP</t>
  </si>
  <si>
    <t>H1-FY21</t>
  </si>
  <si>
    <t>Operational Cost</t>
  </si>
  <si>
    <t>FY21</t>
  </si>
  <si>
    <t>FY22</t>
  </si>
  <si>
    <t>Intangible Assets under development</t>
  </si>
  <si>
    <t>Investment Property</t>
  </si>
  <si>
    <t>-</t>
  </si>
  <si>
    <t xml:space="preserve"> Bank Balances</t>
  </si>
  <si>
    <t xml:space="preserve">Cash </t>
  </si>
  <si>
    <t>FY23</t>
  </si>
  <si>
    <t>Contract Liab</t>
  </si>
  <si>
    <t>FY24</t>
  </si>
  <si>
    <t>Other equity</t>
  </si>
  <si>
    <t>Loans and Advances</t>
  </si>
  <si>
    <t>FY25</t>
  </si>
  <si>
    <t>Market Cap (INR Mn)</t>
  </si>
  <si>
    <t>H1-FY26</t>
  </si>
  <si>
    <t>Other Non-Current Liabilities</t>
  </si>
  <si>
    <t>TTM EPS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</si>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</sst>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0.0"/>
    <numFmt numFmtId="168" formatCode="_ * #,##0.0_ ;_ * \-#,##0.0_ ;_ * &quot;-&quot;??_ ;_ @_ "/>
    <numFmt numFmtId="169" formatCode="_ * #,##0.000_ ;_ * \-#,##0.000_ ;_ * &quot;-&quot;??_ ;_ @_ "/>
    <numFmt numFmtId="170" formatCode="0.000"/>
    <numFmt numFmtId="171" formatCode="_(* #,##0.0000_);_(* \(#,##0.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name val="Calibri"/>
      <family val="2"/>
      <scheme val="minor"/>
    </font>
    <font>
      <sz val="8"/>
      <color rgb="FF000000"/>
      <name val="MyFirstFont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9" fontId="0" fillId="0" borderId="0" xfId="3" applyFont="1"/>
    <xf numFmtId="0" fontId="14" fillId="9" borderId="3" xfId="0" applyFont="1" applyFill="1" applyBorder="1" applyAlignment="1">
      <alignment horizontal="center"/>
    </xf>
    <xf numFmtId="0" fontId="13" fillId="5" borderId="3" xfId="0" applyFont="1" applyFill="1" applyBorder="1"/>
    <xf numFmtId="0" fontId="13" fillId="5" borderId="4" xfId="0" applyFont="1" applyFill="1" applyBorder="1" applyAlignment="1">
      <alignment horizontal="center"/>
    </xf>
    <xf numFmtId="0" fontId="0" fillId="5" borderId="3" xfId="0" applyFill="1" applyBorder="1"/>
    <xf numFmtId="4" fontId="0" fillId="6" borderId="4" xfId="0" applyNumberFormat="1" applyFill="1" applyBorder="1"/>
    <xf numFmtId="1" fontId="0" fillId="5" borderId="4" xfId="0" applyNumberFormat="1" applyFill="1" applyBorder="1"/>
    <xf numFmtId="1" fontId="0" fillId="0" borderId="0" xfId="0" applyNumberFormat="1"/>
    <xf numFmtId="10" fontId="0" fillId="6" borderId="4" xfId="3" applyNumberFormat="1" applyFont="1" applyFill="1" applyBorder="1"/>
    <xf numFmtId="10" fontId="0" fillId="5" borderId="4" xfId="3" applyNumberFormat="1" applyFont="1" applyFill="1" applyBorder="1"/>
    <xf numFmtId="10" fontId="0" fillId="0" borderId="4" xfId="3" applyNumberFormat="1" applyFont="1" applyFill="1" applyBorder="1"/>
    <xf numFmtId="9" fontId="0" fillId="5" borderId="4" xfId="3" applyFont="1" applyFill="1" applyBorder="1"/>
    <xf numFmtId="4" fontId="13" fillId="6" borderId="4" xfId="0" applyNumberFormat="1" applyFont="1" applyFill="1" applyBorder="1"/>
    <xf numFmtId="4" fontId="13" fillId="0" borderId="4" xfId="0" applyNumberFormat="1" applyFont="1" applyBorder="1"/>
    <xf numFmtId="10" fontId="13" fillId="6" borderId="4" xfId="3" applyNumberFormat="1" applyFont="1" applyFill="1" applyBorder="1"/>
    <xf numFmtId="10" fontId="13" fillId="0" borderId="4" xfId="3" applyNumberFormat="1" applyFont="1" applyFill="1" applyBorder="1"/>
    <xf numFmtId="10" fontId="0" fillId="5" borderId="4" xfId="0" applyNumberFormat="1" applyFill="1" applyBorder="1"/>
    <xf numFmtId="2" fontId="0" fillId="10" borderId="4" xfId="0" applyNumberFormat="1" applyFill="1" applyBorder="1"/>
    <xf numFmtId="0" fontId="0" fillId="5" borderId="4" xfId="0" applyFill="1" applyBorder="1"/>
    <xf numFmtId="2" fontId="0" fillId="0" borderId="4" xfId="0" applyNumberFormat="1" applyBorder="1"/>
    <xf numFmtId="0" fontId="13" fillId="5" borderId="4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43" fontId="0" fillId="6" borderId="4" xfId="1" applyFont="1" applyFill="1" applyBorder="1"/>
    <xf numFmtId="43" fontId="0" fillId="5" borderId="4" xfId="1" applyFont="1" applyFill="1" applyBorder="1"/>
    <xf numFmtId="43" fontId="0" fillId="0" borderId="4" xfId="1" applyFont="1" applyFill="1" applyBorder="1"/>
    <xf numFmtId="0" fontId="0" fillId="5" borderId="3" xfId="0" applyFill="1" applyBorder="1" applyAlignment="1">
      <alignment horizontal="right"/>
    </xf>
    <xf numFmtId="0" fontId="13" fillId="5" borderId="7" xfId="0" applyFont="1" applyFill="1" applyBorder="1" applyAlignment="1">
      <alignment horizontal="left"/>
    </xf>
    <xf numFmtId="43" fontId="0" fillId="0" borderId="4" xfId="1" applyFont="1" applyBorder="1"/>
    <xf numFmtId="43" fontId="13" fillId="10" borderId="4" xfId="1" applyFont="1" applyFill="1" applyBorder="1"/>
    <xf numFmtId="43" fontId="13" fillId="0" borderId="4" xfId="1" applyFont="1" applyFill="1" applyBorder="1"/>
    <xf numFmtId="43" fontId="13" fillId="0" borderId="4" xfId="1" applyFont="1" applyBorder="1"/>
    <xf numFmtId="0" fontId="0" fillId="0" borderId="3" xfId="0" applyBorder="1"/>
    <xf numFmtId="0" fontId="0" fillId="0" borderId="4" xfId="0" applyBorder="1"/>
    <xf numFmtId="43" fontId="13" fillId="6" borderId="4" xfId="1" applyFont="1" applyFill="1" applyBorder="1"/>
    <xf numFmtId="167" fontId="0" fillId="6" borderId="4" xfId="0" applyNumberFormat="1" applyFill="1" applyBorder="1"/>
    <xf numFmtId="165" fontId="0" fillId="6" borderId="4" xfId="1" applyNumberFormat="1" applyFont="1" applyFill="1" applyBorder="1"/>
    <xf numFmtId="167" fontId="0" fillId="5" borderId="4" xfId="0" applyNumberFormat="1" applyFill="1" applyBorder="1"/>
    <xf numFmtId="165" fontId="0" fillId="0" borderId="4" xfId="1" applyNumberFormat="1" applyFont="1" applyBorder="1"/>
    <xf numFmtId="10" fontId="0" fillId="5" borderId="4" xfId="0" applyNumberFormat="1" applyFill="1" applyBorder="1" applyAlignment="1">
      <alignment horizontal="center"/>
    </xf>
    <xf numFmtId="10" fontId="0" fillId="6" borderId="4" xfId="0" applyNumberFormat="1" applyFill="1" applyBorder="1"/>
    <xf numFmtId="10" fontId="0" fillId="0" borderId="4" xfId="3" applyNumberFormat="1" applyFont="1" applyBorder="1"/>
    <xf numFmtId="43" fontId="0" fillId="5" borderId="4" xfId="0" applyNumberFormat="1" applyFill="1" applyBorder="1"/>
    <xf numFmtId="0" fontId="0" fillId="6" borderId="4" xfId="0" applyFill="1" applyBorder="1"/>
    <xf numFmtId="9" fontId="0" fillId="10" borderId="4" xfId="3" applyFont="1" applyFill="1" applyBorder="1"/>
    <xf numFmtId="9" fontId="0" fillId="6" borderId="4" xfId="3" applyFont="1" applyFill="1" applyBorder="1"/>
    <xf numFmtId="9" fontId="0" fillId="0" borderId="4" xfId="3" applyFont="1" applyBorder="1"/>
    <xf numFmtId="9" fontId="0" fillId="5" borderId="4" xfId="0" applyNumberFormat="1" applyFill="1" applyBorder="1"/>
    <xf numFmtId="0" fontId="0" fillId="10" borderId="4" xfId="1" applyNumberFormat="1" applyFont="1" applyFill="1" applyBorder="1"/>
    <xf numFmtId="0" fontId="0" fillId="5" borderId="4" xfId="1" applyNumberFormat="1" applyFont="1" applyFill="1" applyBorder="1"/>
    <xf numFmtId="2" fontId="0" fillId="6" borderId="4" xfId="1" applyNumberFormat="1" applyFont="1" applyFill="1" applyBorder="1"/>
    <xf numFmtId="2" fontId="0" fillId="5" borderId="4" xfId="3" applyNumberFormat="1" applyFont="1" applyFill="1" applyBorder="1"/>
    <xf numFmtId="2" fontId="0" fillId="5" borderId="4" xfId="1" applyNumberFormat="1" applyFont="1" applyFill="1" applyBorder="1"/>
    <xf numFmtId="2" fontId="0" fillId="5" borderId="4" xfId="0" applyNumberFormat="1" applyFill="1" applyBorder="1"/>
    <xf numFmtId="2" fontId="0" fillId="11" borderId="4" xfId="1" applyNumberFormat="1" applyFont="1" applyFill="1" applyBorder="1"/>
    <xf numFmtId="165" fontId="0" fillId="11" borderId="4" xfId="1" applyNumberFormat="1" applyFont="1" applyFill="1" applyBorder="1"/>
    <xf numFmtId="0" fontId="0" fillId="5" borderId="8" xfId="0" applyFill="1" applyBorder="1"/>
    <xf numFmtId="9" fontId="0" fillId="6" borderId="9" xfId="3" applyFont="1" applyFill="1" applyBorder="1"/>
    <xf numFmtId="9" fontId="0" fillId="5" borderId="9" xfId="3" applyFont="1" applyFill="1" applyBorder="1"/>
    <xf numFmtId="9" fontId="0" fillId="0" borderId="9" xfId="3" applyFont="1" applyBorder="1"/>
    <xf numFmtId="0" fontId="0" fillId="5" borderId="0" xfId="0" applyFill="1"/>
    <xf numFmtId="168" fontId="0" fillId="6" borderId="4" xfId="1" applyNumberFormat="1" applyFont="1" applyFill="1" applyBorder="1"/>
    <xf numFmtId="1" fontId="0" fillId="11" borderId="4" xfId="0" applyNumberFormat="1" applyFill="1" applyBorder="1"/>
    <xf numFmtId="2" fontId="0" fillId="6" borderId="4" xfId="0" applyNumberFormat="1" applyFill="1" applyBorder="1"/>
    <xf numFmtId="10" fontId="0" fillId="0" borderId="0" xfId="3" applyNumberFormat="1" applyFont="1"/>
    <xf numFmtId="0" fontId="4" fillId="0" borderId="0" xfId="0" applyFont="1"/>
    <xf numFmtId="0" fontId="4" fillId="0" borderId="0" xfId="4" applyFont="1"/>
    <xf numFmtId="165" fontId="3" fillId="0" borderId="0" xfId="6" applyNumberFormat="1" applyFont="1" applyFill="1" applyBorder="1" applyAlignment="1"/>
    <xf numFmtId="14" fontId="4" fillId="0" borderId="0" xfId="0" applyNumberFormat="1" applyFont="1"/>
    <xf numFmtId="1" fontId="12" fillId="5" borderId="0" xfId="4" applyNumberFormat="1" applyFont="1" applyFill="1"/>
    <xf numFmtId="0" fontId="4" fillId="5" borderId="0" xfId="0" applyFont="1" applyFill="1"/>
    <xf numFmtId="10" fontId="0" fillId="5" borderId="5" xfId="3" applyNumberFormat="1" applyFont="1" applyFill="1" applyBorder="1"/>
    <xf numFmtId="10" fontId="13" fillId="0" borderId="5" xfId="3" applyNumberFormat="1" applyFont="1" applyFill="1" applyBorder="1"/>
    <xf numFmtId="0" fontId="0" fillId="5" borderId="5" xfId="0" applyFill="1" applyBorder="1"/>
    <xf numFmtId="43" fontId="0" fillId="5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14" fillId="8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10" fontId="13" fillId="0" borderId="4" xfId="3" applyNumberFormat="1" applyFon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/>
    </xf>
    <xf numFmtId="1" fontId="0" fillId="5" borderId="5" xfId="0" applyNumberFormat="1" applyFill="1" applyBorder="1"/>
    <xf numFmtId="10" fontId="0" fillId="0" borderId="5" xfId="3" applyNumberFormat="1" applyFont="1" applyFill="1" applyBorder="1"/>
    <xf numFmtId="4" fontId="13" fillId="0" borderId="5" xfId="0" applyNumberFormat="1" applyFont="1" applyBorder="1"/>
    <xf numFmtId="2" fontId="0" fillId="0" borderId="5" xfId="0" applyNumberFormat="1" applyBorder="1"/>
    <xf numFmtId="43" fontId="0" fillId="0" borderId="5" xfId="1" applyFont="1" applyFill="1" applyBorder="1"/>
    <xf numFmtId="43" fontId="13" fillId="5" borderId="5" xfId="1" applyFont="1" applyFill="1" applyBorder="1"/>
    <xf numFmtId="165" fontId="0" fillId="0" borderId="5" xfId="1" applyNumberFormat="1" applyFont="1" applyBorder="1"/>
    <xf numFmtId="10" fontId="0" fillId="0" borderId="5" xfId="3" applyNumberFormat="1" applyFont="1" applyBorder="1"/>
    <xf numFmtId="43" fontId="0" fillId="5" borderId="5" xfId="0" applyNumberFormat="1" applyFill="1" applyBorder="1"/>
    <xf numFmtId="9" fontId="0" fillId="0" borderId="5" xfId="3" applyFont="1" applyBorder="1"/>
    <xf numFmtId="9" fontId="0" fillId="0" borderId="10" xfId="3" applyFont="1" applyBorder="1"/>
    <xf numFmtId="43" fontId="13" fillId="5" borderId="4" xfId="1" applyFont="1" applyFill="1" applyBorder="1"/>
    <xf numFmtId="43" fontId="0" fillId="11" borderId="4" xfId="1" applyFont="1" applyFill="1" applyBorder="1"/>
    <xf numFmtId="43" fontId="0" fillId="12" borderId="4" xfId="1" applyFont="1" applyFill="1" applyBorder="1"/>
    <xf numFmtId="0" fontId="0" fillId="12" borderId="4" xfId="0" applyFill="1" applyBorder="1"/>
    <xf numFmtId="0" fontId="0" fillId="11" borderId="4" xfId="0" applyFill="1" applyBorder="1"/>
    <xf numFmtId="0" fontId="3" fillId="0" borderId="0" xfId="4" applyFont="1"/>
    <xf numFmtId="0" fontId="6" fillId="0" borderId="4" xfId="0" applyFont="1" applyBorder="1" applyAlignment="1">
      <alignment horizontal="center" vertical="center"/>
    </xf>
    <xf numFmtId="170" fontId="4" fillId="0" borderId="0" xfId="0" applyNumberFormat="1" applyFont="1"/>
    <xf numFmtId="171" fontId="4" fillId="0" borderId="0" xfId="0" applyNumberFormat="1" applyFont="1"/>
    <xf numFmtId="3" fontId="3" fillId="14" borderId="4" xfId="4" applyNumberFormat="1" applyFont="1" applyFill="1" applyBorder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1" fontId="4" fillId="0" borderId="4" xfId="5" applyNumberFormat="1" applyFont="1" applyBorder="1" applyAlignment="1">
      <alignment vertical="center"/>
    </xf>
    <xf numFmtId="0" fontId="5" fillId="4" borderId="2" xfId="5" applyFont="1" applyFill="1" applyBorder="1" applyAlignment="1">
      <alignment vertical="center"/>
    </xf>
    <xf numFmtId="0" fontId="5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center" vertical="center"/>
    </xf>
    <xf numFmtId="0" fontId="6" fillId="4" borderId="4" xfId="5" applyFont="1" applyFill="1" applyBorder="1" applyAlignment="1">
      <alignment horizontal="center" vertical="center"/>
    </xf>
    <xf numFmtId="1" fontId="4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0" fontId="5" fillId="4" borderId="2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5" fillId="4" borderId="4" xfId="5" applyFont="1" applyFill="1" applyBorder="1" applyAlignment="1">
      <alignment vertical="center"/>
    </xf>
    <xf numFmtId="0" fontId="5" fillId="4" borderId="4" xfId="5" applyFont="1" applyFill="1" applyBorder="1" applyAlignment="1">
      <alignment horizontal="right" vertical="center"/>
    </xf>
    <xf numFmtId="0" fontId="6" fillId="4" borderId="4" xfId="5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vertical="center"/>
    </xf>
    <xf numFmtId="0" fontId="7" fillId="0" borderId="4" xfId="5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5" fillId="14" borderId="4" xfId="5" applyFont="1" applyFill="1" applyBorder="1" applyAlignment="1">
      <alignment vertical="center"/>
    </xf>
    <xf numFmtId="165" fontId="6" fillId="14" borderId="4" xfId="6" applyNumberFormat="1" applyFont="1" applyFill="1" applyBorder="1" applyAlignment="1">
      <alignment vertical="center"/>
    </xf>
    <xf numFmtId="165" fontId="6" fillId="14" borderId="4" xfId="1" applyNumberFormat="1" applyFont="1" applyFill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5" fontId="4" fillId="0" borderId="4" xfId="6" applyNumberFormat="1" applyFont="1" applyBorder="1" applyAlignment="1">
      <alignment vertical="center"/>
    </xf>
    <xf numFmtId="167" fontId="4" fillId="0" borderId="4" xfId="5" applyNumberFormat="1" applyFont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" fontId="6" fillId="14" borderId="4" xfId="6" applyNumberFormat="1" applyFont="1" applyFill="1" applyBorder="1" applyAlignment="1">
      <alignment vertical="center"/>
    </xf>
    <xf numFmtId="9" fontId="4" fillId="0" borderId="0" xfId="3" applyFont="1" applyBorder="1" applyAlignment="1">
      <alignment vertical="center"/>
    </xf>
    <xf numFmtId="0" fontId="5" fillId="0" borderId="4" xfId="5" applyFont="1" applyBorder="1" applyAlignment="1">
      <alignment vertical="center"/>
    </xf>
    <xf numFmtId="165" fontId="3" fillId="0" borderId="4" xfId="6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14" borderId="4" xfId="5" applyFont="1" applyFill="1" applyBorder="1" applyAlignment="1">
      <alignment vertical="center"/>
    </xf>
    <xf numFmtId="166" fontId="9" fillId="14" borderId="4" xfId="3" applyNumberFormat="1" applyFont="1" applyFill="1" applyBorder="1" applyAlignment="1">
      <alignment vertical="center"/>
    </xf>
    <xf numFmtId="166" fontId="10" fillId="14" borderId="4" xfId="3" applyNumberFormat="1" applyFont="1" applyFill="1" applyBorder="1" applyAlignment="1">
      <alignment vertical="center"/>
    </xf>
    <xf numFmtId="10" fontId="6" fillId="14" borderId="4" xfId="3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" fontId="7" fillId="0" borderId="4" xfId="5" applyNumberFormat="1" applyFont="1" applyBorder="1" applyAlignment="1">
      <alignment vertical="center"/>
    </xf>
    <xf numFmtId="0" fontId="7" fillId="14" borderId="4" xfId="5" applyFont="1" applyFill="1" applyBorder="1" applyAlignment="1">
      <alignment vertical="center"/>
    </xf>
    <xf numFmtId="165" fontId="4" fillId="14" borderId="4" xfId="1" applyNumberFormat="1" applyFont="1" applyFill="1" applyBorder="1" applyAlignment="1">
      <alignment vertical="center"/>
    </xf>
    <xf numFmtId="1" fontId="5" fillId="14" borderId="4" xfId="5" applyNumberFormat="1" applyFont="1" applyFill="1" applyBorder="1" applyAlignment="1">
      <alignment vertical="center"/>
    </xf>
    <xf numFmtId="43" fontId="6" fillId="14" borderId="4" xfId="1" applyFont="1" applyFill="1" applyBorder="1" applyAlignment="1">
      <alignment vertical="center"/>
    </xf>
    <xf numFmtId="0" fontId="12" fillId="0" borderId="4" xfId="4" applyFont="1" applyBorder="1" applyAlignment="1">
      <alignment vertical="center"/>
    </xf>
    <xf numFmtId="165" fontId="7" fillId="5" borderId="4" xfId="1" applyNumberFormat="1" applyFont="1" applyFill="1" applyBorder="1" applyAlignment="1">
      <alignment vertical="center"/>
    </xf>
    <xf numFmtId="165" fontId="16" fillId="0" borderId="4" xfId="1" applyNumberFormat="1" applyFont="1" applyBorder="1" applyAlignment="1">
      <alignment horizontal="right" vertical="center" wrapText="1"/>
    </xf>
    <xf numFmtId="0" fontId="4" fillId="0" borderId="4" xfId="4" applyFont="1" applyBorder="1" applyAlignment="1">
      <alignment vertical="center"/>
    </xf>
    <xf numFmtId="1" fontId="4" fillId="0" borderId="4" xfId="4" applyNumberFormat="1" applyFont="1" applyBorder="1" applyAlignment="1">
      <alignment vertical="center"/>
    </xf>
    <xf numFmtId="0" fontId="5" fillId="5" borderId="4" xfId="5" applyFont="1" applyFill="1" applyBorder="1" applyAlignment="1">
      <alignment vertical="center"/>
    </xf>
    <xf numFmtId="1" fontId="5" fillId="5" borderId="4" xfId="5" applyNumberFormat="1" applyFont="1" applyFill="1" applyBorder="1" applyAlignment="1">
      <alignment vertical="center"/>
    </xf>
    <xf numFmtId="1" fontId="6" fillId="5" borderId="4" xfId="5" applyNumberFormat="1" applyFont="1" applyFill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0" fontId="7" fillId="5" borderId="4" xfId="5" applyFont="1" applyFill="1" applyBorder="1" applyAlignment="1">
      <alignment vertical="center"/>
    </xf>
    <xf numFmtId="0" fontId="3" fillId="14" borderId="4" xfId="4" applyFont="1" applyFill="1" applyBorder="1" applyAlignment="1">
      <alignment vertical="center"/>
    </xf>
    <xf numFmtId="1" fontId="6" fillId="14" borderId="4" xfId="2" applyNumberFormat="1" applyFont="1" applyFill="1" applyBorder="1" applyAlignment="1">
      <alignment horizontal="right" vertical="center"/>
    </xf>
    <xf numFmtId="165" fontId="12" fillId="0" borderId="4" xfId="1" applyNumberFormat="1" applyFont="1" applyBorder="1" applyAlignment="1">
      <alignment vertical="center"/>
    </xf>
    <xf numFmtId="0" fontId="5" fillId="15" borderId="4" xfId="5" applyFont="1" applyFill="1" applyBorder="1" applyAlignment="1">
      <alignment vertical="center"/>
    </xf>
    <xf numFmtId="2" fontId="5" fillId="15" borderId="4" xfId="5" applyNumberFormat="1" applyFont="1" applyFill="1" applyBorder="1" applyAlignment="1">
      <alignment vertical="center"/>
    </xf>
    <xf numFmtId="2" fontId="6" fillId="15" borderId="4" xfId="5" applyNumberFormat="1" applyFont="1" applyFill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6" fillId="4" borderId="2" xfId="5" applyFont="1" applyFill="1" applyBorder="1" applyAlignment="1">
      <alignment horizontal="center" vertical="center" wrapText="1"/>
    </xf>
    <xf numFmtId="167" fontId="3" fillId="14" borderId="4" xfId="5" applyNumberFormat="1" applyFont="1" applyFill="1" applyBorder="1" applyAlignment="1">
      <alignment vertical="center"/>
    </xf>
    <xf numFmtId="167" fontId="6" fillId="14" borderId="4" xfId="6" applyNumberFormat="1" applyFont="1" applyFill="1" applyBorder="1" applyAlignment="1">
      <alignment horizontal="right" vertical="center" wrapText="1"/>
    </xf>
    <xf numFmtId="167" fontId="12" fillId="0" borderId="4" xfId="5" applyNumberFormat="1" applyFont="1" applyBorder="1" applyAlignment="1">
      <alignment vertical="center"/>
    </xf>
    <xf numFmtId="165" fontId="12" fillId="0" borderId="4" xfId="6" applyNumberFormat="1" applyFont="1" applyFill="1" applyBorder="1" applyAlignment="1">
      <alignment vertical="center"/>
    </xf>
    <xf numFmtId="165" fontId="4" fillId="7" borderId="4" xfId="6" applyNumberFormat="1" applyFont="1" applyFill="1" applyBorder="1" applyAlignment="1">
      <alignment horizontal="right" vertical="center" wrapText="1"/>
    </xf>
    <xf numFmtId="167" fontId="4" fillId="7" borderId="4" xfId="6" applyNumberFormat="1" applyFont="1" applyFill="1" applyBorder="1" applyAlignment="1">
      <alignment horizontal="right" vertical="center" wrapText="1"/>
    </xf>
    <xf numFmtId="43" fontId="3" fillId="0" borderId="4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167" fontId="3" fillId="0" borderId="4" xfId="5" applyNumberFormat="1" applyFont="1" applyBorder="1" applyAlignment="1">
      <alignment vertical="center"/>
    </xf>
    <xf numFmtId="165" fontId="6" fillId="0" borderId="4" xfId="6" applyNumberFormat="1" applyFont="1" applyFill="1" applyBorder="1" applyAlignment="1">
      <alignment vertical="center"/>
    </xf>
    <xf numFmtId="167" fontId="6" fillId="0" borderId="4" xfId="6" applyNumberFormat="1" applyFont="1" applyFill="1" applyBorder="1" applyAlignment="1">
      <alignment vertical="center"/>
    </xf>
    <xf numFmtId="0" fontId="5" fillId="4" borderId="4" xfId="5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168" fontId="4" fillId="0" borderId="4" xfId="6" applyNumberFormat="1" applyFont="1" applyBorder="1" applyAlignment="1">
      <alignment vertical="center"/>
    </xf>
    <xf numFmtId="0" fontId="5" fillId="0" borderId="4" xfId="5" applyFont="1" applyBorder="1" applyAlignment="1">
      <alignment horizontal="center" vertical="center"/>
    </xf>
    <xf numFmtId="168" fontId="3" fillId="14" borderId="4" xfId="6" applyNumberFormat="1" applyFont="1" applyFill="1" applyBorder="1" applyAlignment="1">
      <alignment vertical="center"/>
    </xf>
    <xf numFmtId="168" fontId="6" fillId="14" borderId="4" xfId="6" applyNumberFormat="1" applyFont="1" applyFill="1" applyBorder="1" applyAlignment="1">
      <alignment vertical="center"/>
    </xf>
    <xf numFmtId="0" fontId="7" fillId="13" borderId="4" xfId="5" applyFont="1" applyFill="1" applyBorder="1" applyAlignment="1">
      <alignment vertical="center"/>
    </xf>
    <xf numFmtId="167" fontId="4" fillId="13" borderId="4" xfId="5" applyNumberFormat="1" applyFont="1" applyFill="1" applyBorder="1" applyAlignment="1">
      <alignment horizontal="center" vertical="center"/>
    </xf>
    <xf numFmtId="168" fontId="12" fillId="0" borderId="4" xfId="6" applyNumberFormat="1" applyFont="1" applyFill="1" applyBorder="1" applyAlignment="1">
      <alignment vertical="center"/>
    </xf>
    <xf numFmtId="168" fontId="4" fillId="0" borderId="4" xfId="6" applyNumberFormat="1" applyFont="1" applyFill="1" applyBorder="1" applyAlignment="1">
      <alignment vertical="center"/>
    </xf>
    <xf numFmtId="168" fontId="6" fillId="14" borderId="4" xfId="1" applyNumberFormat="1" applyFont="1" applyFill="1" applyBorder="1" applyAlignment="1">
      <alignment vertical="center"/>
    </xf>
    <xf numFmtId="2" fontId="4" fillId="0" borderId="4" xfId="4" applyNumberFormat="1" applyFont="1" applyBorder="1" applyAlignment="1">
      <alignment horizontal="center" vertical="center"/>
    </xf>
    <xf numFmtId="166" fontId="4" fillId="13" borderId="4" xfId="3" applyNumberFormat="1" applyFont="1" applyFill="1" applyBorder="1" applyAlignment="1">
      <alignment horizontal="center" vertical="center"/>
    </xf>
    <xf numFmtId="9" fontId="4" fillId="13" borderId="4" xfId="3" applyFont="1" applyFill="1" applyBorder="1" applyAlignment="1">
      <alignment horizontal="center" vertical="center"/>
    </xf>
    <xf numFmtId="165" fontId="12" fillId="0" borderId="0" xfId="6" applyNumberFormat="1" applyFont="1" applyFill="1" applyBorder="1" applyAlignment="1">
      <alignment vertical="center"/>
    </xf>
    <xf numFmtId="2" fontId="4" fillId="13" borderId="4" xfId="5" applyNumberFormat="1" applyFont="1" applyFill="1" applyBorder="1" applyAlignment="1">
      <alignment horizontal="center" vertical="center"/>
    </xf>
    <xf numFmtId="10" fontId="4" fillId="13" borderId="4" xfId="3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165" fontId="3" fillId="0" borderId="0" xfId="6" applyNumberFormat="1" applyFont="1" applyFill="1" applyBorder="1" applyAlignment="1">
      <alignment vertical="center"/>
    </xf>
    <xf numFmtId="1" fontId="4" fillId="13" borderId="4" xfId="5" applyNumberFormat="1" applyFont="1" applyFill="1" applyBorder="1" applyAlignment="1">
      <alignment horizontal="center" vertical="center"/>
    </xf>
    <xf numFmtId="0" fontId="12" fillId="13" borderId="4" xfId="4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4" applyFont="1" applyAlignment="1">
      <alignment vertical="center" wrapText="1"/>
    </xf>
    <xf numFmtId="0" fontId="8" fillId="0" borderId="4" xfId="5" applyFont="1" applyBorder="1" applyAlignment="1">
      <alignment vertical="center"/>
    </xf>
    <xf numFmtId="166" fontId="9" fillId="0" borderId="4" xfId="3" applyNumberFormat="1" applyFont="1" applyFill="1" applyBorder="1" applyAlignment="1">
      <alignment horizontal="right" vertical="center"/>
    </xf>
    <xf numFmtId="166" fontId="10" fillId="0" borderId="4" xfId="3" applyNumberFormat="1" applyFont="1" applyFill="1" applyBorder="1" applyAlignment="1">
      <alignment horizontal="right" vertical="center"/>
    </xf>
    <xf numFmtId="166" fontId="11" fillId="0" borderId="4" xfId="3" applyNumberFormat="1" applyFont="1" applyFill="1" applyBorder="1" applyAlignment="1">
      <alignment horizontal="right" vertical="center"/>
    </xf>
    <xf numFmtId="166" fontId="9" fillId="0" borderId="4" xfId="3" applyNumberFormat="1" applyFont="1" applyFill="1" applyBorder="1" applyAlignment="1">
      <alignment vertical="center"/>
    </xf>
    <xf numFmtId="166" fontId="10" fillId="0" borderId="4" xfId="3" applyNumberFormat="1" applyFont="1" applyFill="1" applyBorder="1" applyAlignment="1">
      <alignment vertical="center"/>
    </xf>
    <xf numFmtId="166" fontId="8" fillId="0" borderId="4" xfId="5" applyNumberFormat="1" applyFont="1" applyBorder="1" applyAlignment="1">
      <alignment horizontal="right" vertical="center"/>
    </xf>
    <xf numFmtId="166" fontId="11" fillId="0" borderId="4" xfId="5" applyNumberFormat="1" applyFont="1" applyBorder="1" applyAlignment="1">
      <alignment horizontal="right" vertical="center"/>
    </xf>
    <xf numFmtId="166" fontId="7" fillId="0" borderId="4" xfId="3" applyNumberFormat="1" applyFont="1" applyFill="1" applyBorder="1" applyAlignment="1">
      <alignment vertical="center"/>
    </xf>
    <xf numFmtId="166" fontId="4" fillId="0" borderId="4" xfId="3" applyNumberFormat="1" applyFont="1" applyFill="1" applyBorder="1" applyAlignment="1">
      <alignment vertical="center"/>
    </xf>
    <xf numFmtId="166" fontId="11" fillId="0" borderId="4" xfId="3" applyNumberFormat="1" applyFont="1" applyFill="1" applyBorder="1" applyAlignment="1">
      <alignment vertical="center"/>
    </xf>
    <xf numFmtId="0" fontId="9" fillId="0" borderId="4" xfId="5" applyFont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1" fontId="11" fillId="0" borderId="4" xfId="3" applyNumberFormat="1" applyFont="1" applyFill="1" applyBorder="1" applyAlignment="1">
      <alignment horizontal="right" vertical="center"/>
    </xf>
    <xf numFmtId="3" fontId="5" fillId="14" borderId="4" xfId="5" applyNumberFormat="1" applyFont="1" applyFill="1" applyBorder="1" applyAlignment="1">
      <alignment horizontal="right" vertical="center"/>
    </xf>
    <xf numFmtId="3" fontId="6" fillId="14" borderId="4" xfId="5" applyNumberFormat="1" applyFont="1" applyFill="1" applyBorder="1" applyAlignment="1">
      <alignment horizontal="right" vertical="center"/>
    </xf>
    <xf numFmtId="1" fontId="6" fillId="14" borderId="4" xfId="5" applyNumberFormat="1" applyFont="1" applyFill="1" applyBorder="1" applyAlignment="1">
      <alignment vertical="center"/>
    </xf>
    <xf numFmtId="0" fontId="12" fillId="13" borderId="4" xfId="5" applyFont="1" applyFill="1" applyBorder="1" applyAlignment="1">
      <alignment vertical="center"/>
    </xf>
    <xf numFmtId="166" fontId="12" fillId="13" borderId="4" xfId="3" applyNumberFormat="1" applyFont="1" applyFill="1" applyBorder="1" applyAlignment="1">
      <alignment horizontal="center" vertical="center"/>
    </xf>
    <xf numFmtId="10" fontId="12" fillId="13" borderId="4" xfId="3" applyNumberFormat="1" applyFont="1" applyFill="1" applyBorder="1" applyAlignment="1">
      <alignment horizontal="center" vertical="center"/>
    </xf>
    <xf numFmtId="1" fontId="6" fillId="14" borderId="4" xfId="6" applyNumberFormat="1" applyFont="1" applyFill="1" applyBorder="1" applyAlignment="1">
      <alignment horizontal="right" vertical="center" wrapText="1"/>
    </xf>
    <xf numFmtId="43" fontId="4" fillId="0" borderId="0" xfId="1" applyFont="1"/>
    <xf numFmtId="0" fontId="0" fillId="5" borderId="0" xfId="0" applyFill="1" applyAlignment="1">
      <alignment vertical="center"/>
    </xf>
    <xf numFmtId="169" fontId="4" fillId="0" borderId="0" xfId="0" applyNumberFormat="1" applyFont="1"/>
    <xf numFmtId="2" fontId="5" fillId="0" borderId="4" xfId="5" applyNumberFormat="1" applyFont="1" applyBorder="1" applyAlignment="1">
      <alignment horizontal="center" vertical="center"/>
    </xf>
    <xf numFmtId="0" fontId="19" fillId="0" borderId="0" xfId="0" applyFont="1"/>
    <xf numFmtId="1" fontId="6" fillId="14" borderId="4" xfId="0" applyNumberFormat="1" applyFont="1" applyFill="1" applyBorder="1" applyAlignment="1">
      <alignment vertical="center"/>
    </xf>
    <xf numFmtId="1" fontId="4" fillId="0" borderId="4" xfId="6" applyNumberFormat="1" applyFont="1" applyFill="1" applyBorder="1" applyAlignment="1">
      <alignment horizontal="right" vertical="center" wrapText="1"/>
    </xf>
    <xf numFmtId="1" fontId="4" fillId="0" borderId="4" xfId="6" applyNumberFormat="1" applyFont="1" applyFill="1" applyBorder="1" applyAlignment="1">
      <alignment vertical="center"/>
    </xf>
    <xf numFmtId="1" fontId="6" fillId="0" borderId="4" xfId="6" applyNumberFormat="1" applyFont="1" applyFill="1" applyBorder="1" applyAlignment="1">
      <alignment vertical="center"/>
    </xf>
    <xf numFmtId="0" fontId="12" fillId="13" borderId="4" xfId="4" applyFont="1" applyFill="1" applyBorder="1" applyAlignment="1">
      <alignment horizontal="left" vertical="center"/>
    </xf>
    <xf numFmtId="0" fontId="3" fillId="3" borderId="4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" fillId="3" borderId="19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20" xfId="4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4" fillId="8" borderId="1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1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</cellXfs>
  <cellStyles count="8">
    <cellStyle name="Comma" xfId="1" builtinId="3"/>
    <cellStyle name="Comma 2" xfId="6" xr:uid="{00000000-0005-0000-0000-000001000000}"/>
    <cellStyle name="Comma 3" xfId="7" xr:uid="{00000000-0005-0000-0000-000002000000}"/>
    <cellStyle name="Currency" xfId="2" builtinId="4"/>
    <cellStyle name="Normal" xfId="0" builtinId="0"/>
    <cellStyle name="Normal 2" xfId="4" xr:uid="{00000000-0005-0000-0000-000005000000}"/>
    <cellStyle name="Percent" xfId="3" builtinId="5"/>
    <cellStyle name="Style 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3"/>
  <sheetViews>
    <sheetView tabSelected="1" zoomScale="120" zoomScaleNormal="120" zoomScaleSheetLayoutView="70" workbookViewId="0">
      <selection activeCell="Q63" sqref="Q63"/>
    </sheetView>
  </sheetViews>
  <sheetFormatPr defaultColWidth="9.28515625" defaultRowHeight="11.25"/>
  <cols>
    <col min="1" max="1" width="42.28515625" style="65" bestFit="1" customWidth="1"/>
    <col min="2" max="2" width="9.28515625" style="65" hidden="1" customWidth="1"/>
    <col min="3" max="5" width="10" style="65" hidden="1" customWidth="1"/>
    <col min="6" max="9" width="11.7109375" style="65" hidden="1" customWidth="1"/>
    <col min="10" max="17" width="9.7109375" style="65" customWidth="1"/>
    <col min="18" max="18" width="4" style="65" customWidth="1"/>
    <col min="19" max="19" width="34.28515625" style="65" bestFit="1" customWidth="1"/>
    <col min="20" max="20" width="14.42578125" style="65" hidden="1" customWidth="1"/>
    <col min="21" max="23" width="12" style="65" hidden="1" customWidth="1"/>
    <col min="24" max="27" width="11.7109375" style="65" hidden="1" customWidth="1"/>
    <col min="28" max="35" width="9.7109375" style="65" customWidth="1"/>
    <col min="36" max="16384" width="9.28515625" style="65"/>
  </cols>
  <sheetData>
    <row r="1" spans="1:45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</row>
    <row r="2" spans="1:45" ht="15.75" customHeight="1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02"/>
      <c r="R2" s="103"/>
      <c r="S2" s="236" t="s">
        <v>2</v>
      </c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5" ht="15">
      <c r="A3" s="104" t="s">
        <v>3</v>
      </c>
      <c r="B3" s="105" t="s">
        <v>4</v>
      </c>
      <c r="C3" s="106" t="s">
        <v>5</v>
      </c>
      <c r="D3" s="107" t="s">
        <v>6</v>
      </c>
      <c r="E3" s="107" t="s">
        <v>7</v>
      </c>
      <c r="F3" s="107" t="s">
        <v>8</v>
      </c>
      <c r="G3" s="107" t="s">
        <v>9</v>
      </c>
      <c r="H3" s="107" t="s">
        <v>10</v>
      </c>
      <c r="I3" s="107" t="s">
        <v>11</v>
      </c>
      <c r="J3" s="107" t="s">
        <v>12</v>
      </c>
      <c r="K3" s="107" t="s">
        <v>107</v>
      </c>
      <c r="L3" s="107" t="s">
        <v>155</v>
      </c>
      <c r="M3" s="107" t="s">
        <v>156</v>
      </c>
      <c r="N3" s="107" t="s">
        <v>162</v>
      </c>
      <c r="O3" s="107" t="s">
        <v>164</v>
      </c>
      <c r="P3" s="107" t="s">
        <v>167</v>
      </c>
      <c r="Q3" s="107" t="s">
        <v>172</v>
      </c>
      <c r="R3" s="109"/>
      <c r="S3" s="110" t="s">
        <v>3</v>
      </c>
      <c r="T3" s="111" t="s">
        <v>4</v>
      </c>
      <c r="U3" s="111" t="s">
        <v>5</v>
      </c>
      <c r="V3" s="111" t="s">
        <v>6</v>
      </c>
      <c r="W3" s="111" t="s">
        <v>7</v>
      </c>
      <c r="X3" s="107" t="s">
        <v>8</v>
      </c>
      <c r="Y3" s="107" t="s">
        <v>9</v>
      </c>
      <c r="Z3" s="107" t="s">
        <v>10</v>
      </c>
      <c r="AA3" s="107" t="s">
        <v>11</v>
      </c>
      <c r="AB3" s="107" t="s">
        <v>12</v>
      </c>
      <c r="AC3" s="107" t="s">
        <v>107</v>
      </c>
      <c r="AD3" s="107" t="s">
        <v>155</v>
      </c>
      <c r="AE3" s="107" t="s">
        <v>156</v>
      </c>
      <c r="AF3" s="107" t="s">
        <v>162</v>
      </c>
      <c r="AG3" s="107" t="s">
        <v>164</v>
      </c>
      <c r="AH3" s="112" t="s">
        <v>167</v>
      </c>
      <c r="AI3" s="112" t="s">
        <v>169</v>
      </c>
    </row>
    <row r="4" spans="1:45">
      <c r="A4" s="113" t="s">
        <v>13</v>
      </c>
      <c r="B4" s="114">
        <v>1582.4389999999999</v>
      </c>
      <c r="C4" s="115">
        <v>1820.1110000000001</v>
      </c>
      <c r="D4" s="116">
        <v>2147.3900000000003</v>
      </c>
      <c r="E4" s="116">
        <v>2646.0790000000002</v>
      </c>
      <c r="F4" s="116">
        <v>3234</v>
      </c>
      <c r="G4" s="116">
        <v>3750.5590000000002</v>
      </c>
      <c r="H4" s="117">
        <v>4255.3</v>
      </c>
      <c r="I4" s="117">
        <v>4891.3</v>
      </c>
      <c r="J4" s="117">
        <v>5678.3</v>
      </c>
      <c r="K4" s="117">
        <v>5131.3999999999996</v>
      </c>
      <c r="L4" s="117">
        <v>3111.1</v>
      </c>
      <c r="M4" s="117">
        <v>3814</v>
      </c>
      <c r="N4" s="117">
        <v>5566.07</v>
      </c>
      <c r="O4" s="117">
        <v>7071.9629999999997</v>
      </c>
      <c r="P4" s="117">
        <v>6851.0190000000002</v>
      </c>
      <c r="Q4" s="117">
        <v>4435.7879999999996</v>
      </c>
      <c r="R4" s="109"/>
      <c r="S4" s="118" t="s">
        <v>14</v>
      </c>
      <c r="T4" s="119">
        <v>45.570999999999998</v>
      </c>
      <c r="U4" s="119">
        <v>198.489</v>
      </c>
      <c r="V4" s="119">
        <v>198.489</v>
      </c>
      <c r="W4" s="119">
        <v>198.489</v>
      </c>
      <c r="X4" s="119">
        <v>271.822</v>
      </c>
      <c r="Y4" s="119">
        <v>271.8</v>
      </c>
      <c r="Z4" s="119">
        <v>272</v>
      </c>
      <c r="AA4" s="119">
        <v>271.8</v>
      </c>
      <c r="AB4" s="119">
        <v>271.8</v>
      </c>
      <c r="AC4" s="119">
        <v>271.8</v>
      </c>
      <c r="AD4" s="120">
        <v>271.8</v>
      </c>
      <c r="AE4" s="120">
        <v>271.8</v>
      </c>
      <c r="AF4" s="120">
        <v>271.8</v>
      </c>
      <c r="AG4" s="120">
        <v>272.26299999999998</v>
      </c>
      <c r="AH4" s="120">
        <v>273.20299999999997</v>
      </c>
      <c r="AI4" s="120">
        <v>273.20299999999997</v>
      </c>
    </row>
    <row r="5" spans="1:45">
      <c r="A5" s="122" t="s">
        <v>15</v>
      </c>
      <c r="B5" s="143">
        <f t="shared" ref="B5:F5" si="0">SUM(B4:B4)</f>
        <v>1582.4389999999999</v>
      </c>
      <c r="C5" s="123">
        <f t="shared" si="0"/>
        <v>1820.1110000000001</v>
      </c>
      <c r="D5" s="123">
        <f t="shared" si="0"/>
        <v>2147.3900000000003</v>
      </c>
      <c r="E5" s="123">
        <f t="shared" si="0"/>
        <v>2646.0790000000002</v>
      </c>
      <c r="F5" s="123">
        <f t="shared" si="0"/>
        <v>3234</v>
      </c>
      <c r="G5" s="123">
        <f>SUM(G4:G4)</f>
        <v>3750.5590000000002</v>
      </c>
      <c r="H5" s="123">
        <f>SUM(H4:H4)</f>
        <v>4255.3</v>
      </c>
      <c r="I5" s="123">
        <f>SUM(I4:I4)</f>
        <v>4891.3</v>
      </c>
      <c r="J5" s="123">
        <f>SUM(J4:J4)</f>
        <v>5678.3</v>
      </c>
      <c r="K5" s="123">
        <f t="shared" ref="K5:P5" si="1">K4</f>
        <v>5131.3999999999996</v>
      </c>
      <c r="L5" s="123">
        <f t="shared" si="1"/>
        <v>3111.1</v>
      </c>
      <c r="M5" s="123">
        <f t="shared" si="1"/>
        <v>3814</v>
      </c>
      <c r="N5" s="123">
        <f t="shared" si="1"/>
        <v>5566.07</v>
      </c>
      <c r="O5" s="123">
        <f t="shared" si="1"/>
        <v>7071.9629999999997</v>
      </c>
      <c r="P5" s="123">
        <f t="shared" si="1"/>
        <v>6851.0190000000002</v>
      </c>
      <c r="Q5" s="123">
        <f>Q4</f>
        <v>4435.7879999999996</v>
      </c>
      <c r="R5" s="109"/>
      <c r="S5" s="118" t="s">
        <v>165</v>
      </c>
      <c r="T5" s="119">
        <v>860.49099999999999</v>
      </c>
      <c r="U5" s="119">
        <v>1062.4770000000001</v>
      </c>
      <c r="V5" s="119">
        <v>1286.375</v>
      </c>
      <c r="W5" s="119">
        <v>1546.0629999999999</v>
      </c>
      <c r="X5" s="119">
        <v>2901.7220000000002</v>
      </c>
      <c r="Y5" s="119">
        <v>3377.433</v>
      </c>
      <c r="Z5" s="119">
        <v>3992</v>
      </c>
      <c r="AA5" s="119">
        <v>4662.5</v>
      </c>
      <c r="AB5" s="119">
        <v>5445.3</v>
      </c>
      <c r="AC5" s="119">
        <v>5697.9</v>
      </c>
      <c r="AD5" s="120">
        <v>5491.2</v>
      </c>
      <c r="AE5" s="120">
        <v>5546.1</v>
      </c>
      <c r="AF5" s="121">
        <v>5647.38</v>
      </c>
      <c r="AG5" s="121">
        <v>5259.9709999999995</v>
      </c>
      <c r="AH5" s="121">
        <v>4444.3230000000003</v>
      </c>
      <c r="AI5" s="121">
        <v>3542.2660000000001</v>
      </c>
    </row>
    <row r="6" spans="1:45">
      <c r="A6" s="200" t="s">
        <v>16</v>
      </c>
      <c r="B6" s="201"/>
      <c r="C6" s="202"/>
      <c r="D6" s="202">
        <f>D5/C5-1</f>
        <v>0.17981265977734329</v>
      </c>
      <c r="E6" s="202">
        <f>E5/D5-1</f>
        <v>0.23223028886229313</v>
      </c>
      <c r="F6" s="202">
        <f>F5/E5-1</f>
        <v>0.22218573217201754</v>
      </c>
      <c r="G6" s="202">
        <f>G5/F5-1</f>
        <v>0.15972758194186776</v>
      </c>
      <c r="H6" s="202">
        <f>H4/G5-1</f>
        <v>0.13457753897485691</v>
      </c>
      <c r="I6" s="202">
        <f t="shared" ref="I6:N6" si="2">I4/H4-1</f>
        <v>0.14946067257302653</v>
      </c>
      <c r="J6" s="203">
        <f t="shared" si="2"/>
        <v>0.16089792079815179</v>
      </c>
      <c r="K6" s="203">
        <f t="shared" si="2"/>
        <v>-9.6314037652114326E-2</v>
      </c>
      <c r="L6" s="203">
        <f t="shared" si="2"/>
        <v>-0.393713216666017</v>
      </c>
      <c r="M6" s="203">
        <f t="shared" si="2"/>
        <v>0.22593294976053491</v>
      </c>
      <c r="N6" s="203">
        <f t="shared" si="2"/>
        <v>0.45937860513896167</v>
      </c>
      <c r="O6" s="203">
        <f>O4/N4-1</f>
        <v>0.27054869953126714</v>
      </c>
      <c r="P6" s="203">
        <f t="shared" ref="P6" si="3">P4/O4-1</f>
        <v>-3.124224490427896E-2</v>
      </c>
      <c r="Q6" s="203" t="s">
        <v>150</v>
      </c>
      <c r="R6" s="109"/>
      <c r="S6" s="122" t="s">
        <v>17</v>
      </c>
      <c r="T6" s="123">
        <f>T5+T4</f>
        <v>906.06200000000001</v>
      </c>
      <c r="U6" s="123">
        <f>U5+U4</f>
        <v>1260.9660000000001</v>
      </c>
      <c r="V6" s="123">
        <f>V5+V4</f>
        <v>1484.864</v>
      </c>
      <c r="W6" s="124">
        <f>W5+W4</f>
        <v>1744.5519999999999</v>
      </c>
      <c r="X6" s="124">
        <f>X5+X4</f>
        <v>3173.5440000000003</v>
      </c>
      <c r="Y6" s="124">
        <f t="shared" ref="Y6:AF6" si="4">Y5+Y4</f>
        <v>3649.2330000000002</v>
      </c>
      <c r="Z6" s="124">
        <f t="shared" si="4"/>
        <v>4264</v>
      </c>
      <c r="AA6" s="124">
        <f t="shared" si="4"/>
        <v>4934.3</v>
      </c>
      <c r="AB6" s="124">
        <f t="shared" si="4"/>
        <v>5717.1</v>
      </c>
      <c r="AC6" s="124">
        <f t="shared" si="4"/>
        <v>5969.7</v>
      </c>
      <c r="AD6" s="124">
        <f t="shared" si="4"/>
        <v>5763</v>
      </c>
      <c r="AE6" s="124">
        <f t="shared" si="4"/>
        <v>5817.9000000000005</v>
      </c>
      <c r="AF6" s="124">
        <f t="shared" si="4"/>
        <v>5919.18</v>
      </c>
      <c r="AG6" s="124">
        <f>AG5+AG4</f>
        <v>5532.2339999999995</v>
      </c>
      <c r="AH6" s="124">
        <f>AH5+AH4</f>
        <v>4717.5259999999998</v>
      </c>
      <c r="AI6" s="124">
        <f>AI5+AI4</f>
        <v>3815.4690000000001</v>
      </c>
    </row>
    <row r="7" spans="1:45">
      <c r="A7" s="200" t="s">
        <v>18</v>
      </c>
      <c r="B7" s="206"/>
      <c r="C7" s="203"/>
      <c r="D7" s="207"/>
      <c r="E7" s="202"/>
      <c r="F7" s="202">
        <f>(F5/C5)^(1/3)-1</f>
        <v>0.21119493792607602</v>
      </c>
      <c r="G7" s="202">
        <f>(G5/D5)^(1/3)-1</f>
        <v>0.20428245286423663</v>
      </c>
      <c r="H7" s="202">
        <f>(H4/E5)^(1/3)-1</f>
        <v>0.17159036764406799</v>
      </c>
      <c r="I7" s="202">
        <f t="shared" ref="I7:N7" si="5">(I4/F4)^(1/3)-1</f>
        <v>0.14787543420923721</v>
      </c>
      <c r="J7" s="203">
        <f t="shared" si="5"/>
        <v>0.14826143048358009</v>
      </c>
      <c r="K7" s="203">
        <f t="shared" si="5"/>
        <v>6.4392719969703194E-2</v>
      </c>
      <c r="L7" s="203">
        <f t="shared" si="5"/>
        <v>-0.14000375137438448</v>
      </c>
      <c r="M7" s="203">
        <f t="shared" si="5"/>
        <v>-0.12423526808801233</v>
      </c>
      <c r="N7" s="203">
        <f t="shared" si="5"/>
        <v>2.7474213766357725E-2</v>
      </c>
      <c r="O7" s="203">
        <f>(O4/L4)^(1/3)-1</f>
        <v>0.31484735275821651</v>
      </c>
      <c r="P7" s="203">
        <f t="shared" ref="P7" si="6">(P4/M4)^(1/3)-1</f>
        <v>0.21560224763632774</v>
      </c>
      <c r="Q7" s="203" t="s">
        <v>150</v>
      </c>
      <c r="R7" s="109"/>
      <c r="S7" s="118" t="s">
        <v>19</v>
      </c>
      <c r="T7" s="119">
        <v>0</v>
      </c>
      <c r="U7" s="119">
        <v>0</v>
      </c>
      <c r="V7" s="119">
        <v>0</v>
      </c>
      <c r="W7" s="119">
        <v>0</v>
      </c>
      <c r="X7" s="119">
        <v>0</v>
      </c>
      <c r="Y7" s="119">
        <v>-8.1669999999999998</v>
      </c>
      <c r="Z7" s="119">
        <v>-31.9</v>
      </c>
      <c r="AA7" s="119">
        <v>-36.4</v>
      </c>
      <c r="AB7" s="119">
        <v>-41.5</v>
      </c>
      <c r="AC7" s="119">
        <v>-41</v>
      </c>
      <c r="AD7" s="121">
        <v>-44.9</v>
      </c>
      <c r="AE7" s="121">
        <v>-46.8</v>
      </c>
      <c r="AF7" s="121">
        <v>-44.93</v>
      </c>
      <c r="AG7" s="121">
        <v>-37.411999999999999</v>
      </c>
      <c r="AH7" s="121">
        <v>-32.473999999999997</v>
      </c>
      <c r="AI7" s="121">
        <v>-34.656999999999996</v>
      </c>
    </row>
    <row r="8" spans="1:45">
      <c r="A8" s="122" t="s">
        <v>20</v>
      </c>
      <c r="B8" s="214">
        <f>SUM(B9:B12)</f>
        <v>1252.4970000000001</v>
      </c>
      <c r="C8" s="214">
        <f>SUM(C9:C12)</f>
        <v>1354.6609999999998</v>
      </c>
      <c r="D8" s="214">
        <f>SUM(D9:D12)</f>
        <v>1573.8080000000002</v>
      </c>
      <c r="E8" s="214">
        <f>SUM(E9:E12)</f>
        <v>2002.6499999999999</v>
      </c>
      <c r="F8" s="214">
        <f>SUM(F9:F12)</f>
        <v>2365.5060000000003</v>
      </c>
      <c r="G8" s="215">
        <f t="shared" ref="G8:N8" si="7">SUM(G9+G10+G11+G12)</f>
        <v>2673.7619999999997</v>
      </c>
      <c r="H8" s="215">
        <f t="shared" si="7"/>
        <v>2976.5730000000003</v>
      </c>
      <c r="I8" s="215">
        <f t="shared" si="7"/>
        <v>3465.4</v>
      </c>
      <c r="J8" s="215">
        <f t="shared" si="7"/>
        <v>4100.2</v>
      </c>
      <c r="K8" s="215">
        <f t="shared" si="7"/>
        <v>4363.3</v>
      </c>
      <c r="L8" s="215">
        <f t="shared" si="7"/>
        <v>2985.5</v>
      </c>
      <c r="M8" s="215">
        <f t="shared" si="7"/>
        <v>3455.5</v>
      </c>
      <c r="N8" s="215">
        <f t="shared" si="7"/>
        <v>5093.3500000000004</v>
      </c>
      <c r="O8" s="215">
        <f>SUM(O9+O10+O11+O12)</f>
        <v>7074.5369999999994</v>
      </c>
      <c r="P8" s="215">
        <f>SUM(P9+P10+P11+P12)</f>
        <v>7648.552999999999</v>
      </c>
      <c r="Q8" s="215">
        <f>SUM(Q9+Q10+Q11+Q12)</f>
        <v>6212.1320000000005</v>
      </c>
      <c r="R8" s="109"/>
      <c r="S8" s="118" t="s">
        <v>21</v>
      </c>
      <c r="T8" s="119">
        <v>132.285</v>
      </c>
      <c r="U8" s="119">
        <v>51.366</v>
      </c>
      <c r="V8" s="119">
        <v>2.423</v>
      </c>
      <c r="W8" s="119">
        <v>100.886</v>
      </c>
      <c r="X8" s="119">
        <v>3.2149999999999999</v>
      </c>
      <c r="Y8" s="119">
        <v>229.12899999999999</v>
      </c>
      <c r="Z8" s="119">
        <v>131.1</v>
      </c>
      <c r="AA8" s="119">
        <v>21.3</v>
      </c>
      <c r="AB8" s="119">
        <v>3.8</v>
      </c>
      <c r="AC8" s="119">
        <v>238.6</v>
      </c>
      <c r="AD8" s="120">
        <v>174.1</v>
      </c>
      <c r="AE8" s="120">
        <v>115.6</v>
      </c>
      <c r="AF8" s="121">
        <v>125.503</v>
      </c>
      <c r="AG8" s="121">
        <v>69.73</v>
      </c>
      <c r="AH8" s="121">
        <v>57.033000000000001</v>
      </c>
      <c r="AI8" s="121">
        <v>53.26</v>
      </c>
    </row>
    <row r="9" spans="1:45">
      <c r="A9" s="118" t="s">
        <v>154</v>
      </c>
      <c r="B9" s="119">
        <v>1036.42</v>
      </c>
      <c r="C9" s="119">
        <v>1492.7959999999998</v>
      </c>
      <c r="D9" s="119">
        <v>1767.2580000000003</v>
      </c>
      <c r="E9" s="119">
        <v>2202.8029999999999</v>
      </c>
      <c r="F9" s="126">
        <v>2910.7530000000002</v>
      </c>
      <c r="G9" s="126">
        <v>3241.0070000000001</v>
      </c>
      <c r="H9" s="126">
        <v>2437.8000000000002</v>
      </c>
      <c r="I9" s="126">
        <v>2782.8</v>
      </c>
      <c r="J9" s="126">
        <v>3175.5</v>
      </c>
      <c r="K9" s="126">
        <v>3342.3</v>
      </c>
      <c r="L9" s="126">
        <v>2120.6</v>
      </c>
      <c r="M9" s="126">
        <v>2465.4</v>
      </c>
      <c r="N9" s="126">
        <v>3840.19</v>
      </c>
      <c r="O9" s="126">
        <v>5195.1469999999999</v>
      </c>
      <c r="P9" s="126">
        <v>5791.5429999999997</v>
      </c>
      <c r="Q9" s="126">
        <v>4842.76</v>
      </c>
      <c r="R9" s="109"/>
      <c r="S9" s="118" t="s">
        <v>22</v>
      </c>
      <c r="T9" s="119">
        <v>828.98199999999997</v>
      </c>
      <c r="U9" s="119">
        <v>876.83600000000001</v>
      </c>
      <c r="V9" s="119">
        <v>1099.1579999999999</v>
      </c>
      <c r="W9" s="119">
        <v>1411.453</v>
      </c>
      <c r="X9" s="119">
        <v>1054.0840000000001</v>
      </c>
      <c r="Y9" s="119">
        <v>1543.6489999999999</v>
      </c>
      <c r="Z9" s="119">
        <v>2540.8000000000002</v>
      </c>
      <c r="AA9" s="119">
        <v>1858.2</v>
      </c>
      <c r="AB9" s="119">
        <v>1968.8</v>
      </c>
      <c r="AC9" s="119">
        <v>2150.6</v>
      </c>
      <c r="AD9" s="120">
        <v>2451.1999999999998</v>
      </c>
      <c r="AE9" s="120">
        <v>2362</v>
      </c>
      <c r="AF9" s="121">
        <v>3002.2669999999998</v>
      </c>
      <c r="AG9" s="121">
        <v>3248.2420000000002</v>
      </c>
      <c r="AH9" s="121">
        <v>2945.433</v>
      </c>
      <c r="AI9" s="121">
        <v>2899.4740000000002</v>
      </c>
    </row>
    <row r="10" spans="1:45">
      <c r="A10" s="118" t="s">
        <v>23</v>
      </c>
      <c r="B10" s="127">
        <v>-16.905000000000001</v>
      </c>
      <c r="C10" s="127">
        <v>-437.87799999999999</v>
      </c>
      <c r="D10" s="103">
        <v>-495.48999999999995</v>
      </c>
      <c r="E10" s="103">
        <v>-540.24700000000007</v>
      </c>
      <c r="F10" s="103">
        <v>-882.34100000000001</v>
      </c>
      <c r="G10" s="126">
        <v>-989.548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09"/>
      <c r="S10" s="122" t="s">
        <v>24</v>
      </c>
      <c r="T10" s="123">
        <f t="shared" ref="T10:Z10" si="8">T9+T8</f>
        <v>961.26699999999994</v>
      </c>
      <c r="U10" s="123">
        <f t="shared" si="8"/>
        <v>928.202</v>
      </c>
      <c r="V10" s="123">
        <f t="shared" si="8"/>
        <v>1101.5809999999999</v>
      </c>
      <c r="W10" s="124">
        <f t="shared" si="8"/>
        <v>1512.3389999999999</v>
      </c>
      <c r="X10" s="124">
        <f t="shared" si="8"/>
        <v>1057.299</v>
      </c>
      <c r="Y10" s="124">
        <f t="shared" si="8"/>
        <v>1772.7779999999998</v>
      </c>
      <c r="Z10" s="124">
        <f t="shared" si="8"/>
        <v>2671.9</v>
      </c>
      <c r="AA10" s="124">
        <f t="shared" ref="AA10:AF10" si="9">AA8+AA9</f>
        <v>1879.5</v>
      </c>
      <c r="AB10" s="124">
        <f t="shared" si="9"/>
        <v>1972.6</v>
      </c>
      <c r="AC10" s="124">
        <f t="shared" si="9"/>
        <v>2389.1999999999998</v>
      </c>
      <c r="AD10" s="124">
        <f t="shared" si="9"/>
        <v>2625.2999999999997</v>
      </c>
      <c r="AE10" s="124">
        <f t="shared" si="9"/>
        <v>2477.6</v>
      </c>
      <c r="AF10" s="124">
        <f t="shared" si="9"/>
        <v>3127.77</v>
      </c>
      <c r="AG10" s="124">
        <f>AG8+AG9</f>
        <v>3317.9720000000002</v>
      </c>
      <c r="AH10" s="124">
        <f>AH8+AH9</f>
        <v>3002.4659999999999</v>
      </c>
      <c r="AI10" s="124">
        <f>AI8+AI9</f>
        <v>2952.7340000000004</v>
      </c>
    </row>
    <row r="11" spans="1:45">
      <c r="A11" s="118" t="s">
        <v>25</v>
      </c>
      <c r="B11" s="103">
        <v>103.38699999999999</v>
      </c>
      <c r="C11" s="103">
        <v>148.13499999999999</v>
      </c>
      <c r="D11" s="103">
        <v>164.67500000000001</v>
      </c>
      <c r="E11" s="103">
        <v>185.36199999999999</v>
      </c>
      <c r="F11" s="128">
        <v>185</v>
      </c>
      <c r="G11" s="126">
        <v>234.68199999999999</v>
      </c>
      <c r="H11" s="126">
        <v>308.21499999999997</v>
      </c>
      <c r="I11" s="126">
        <v>396.9</v>
      </c>
      <c r="J11" s="126">
        <v>550.9</v>
      </c>
      <c r="K11" s="126">
        <v>678.9</v>
      </c>
      <c r="L11" s="126">
        <v>589.5</v>
      </c>
      <c r="M11" s="126">
        <v>677.9</v>
      </c>
      <c r="N11" s="126">
        <v>851.31</v>
      </c>
      <c r="O11" s="126">
        <v>1152.1949999999999</v>
      </c>
      <c r="P11" s="126">
        <v>1272.4849999999999</v>
      </c>
      <c r="Q11" s="126">
        <v>1011.425</v>
      </c>
      <c r="R11" s="109"/>
      <c r="S11" s="122" t="s">
        <v>26</v>
      </c>
      <c r="T11" s="129">
        <f>+T6+T7+T10+T43+T45</f>
        <v>1912.2749999999999</v>
      </c>
      <c r="U11" s="129">
        <f>+U6+U7+U10+U43+U45</f>
        <v>2237.8020000000001</v>
      </c>
      <c r="V11" s="129">
        <f>+V6+V7+V10+V43+V45</f>
        <v>2637.2</v>
      </c>
      <c r="W11" s="124">
        <f t="shared" ref="W11:AB11" si="10">W6+W7+W10+W43+W45</f>
        <v>3341.6809999999996</v>
      </c>
      <c r="X11" s="124">
        <f t="shared" si="10"/>
        <v>4304.5040000000008</v>
      </c>
      <c r="Y11" s="124">
        <f t="shared" si="10"/>
        <v>5487.4650000000001</v>
      </c>
      <c r="Z11" s="124">
        <f t="shared" si="10"/>
        <v>6979</v>
      </c>
      <c r="AA11" s="124">
        <f t="shared" si="10"/>
        <v>6829.4000000000005</v>
      </c>
      <c r="AB11" s="124">
        <f t="shared" si="10"/>
        <v>7714.0000000000009</v>
      </c>
      <c r="AC11" s="124">
        <f>AC6+AC7+AC10+AC43+AC45+AC46</f>
        <v>8368.8000000000011</v>
      </c>
      <c r="AD11" s="124">
        <f>AD6+AD7+AD10+AD43+AD45+AD46</f>
        <v>8373.8999999999978</v>
      </c>
      <c r="AE11" s="124">
        <f>AE6+AE7+AE10+AE43+AE45+AE46</f>
        <v>8261</v>
      </c>
      <c r="AF11" s="124">
        <f>AF6+AF7+AF10+AF43+AF45+AF46+AF44</f>
        <v>9045.9580000000005</v>
      </c>
      <c r="AG11" s="124">
        <f t="shared" ref="AG11" si="11">AG6+AG7+AG10+AG43+AG45+AG46+AG44</f>
        <v>8872.0720000000001</v>
      </c>
      <c r="AH11" s="124">
        <f>AH6+AH7+AH10+AH43+AH45+AH46+AH44+AH47</f>
        <v>7754.1</v>
      </c>
      <c r="AI11" s="124">
        <f>AI6+AI7+AI10+AI43+AI45+AI46+AI44+AI47</f>
        <v>6839.9369999999999</v>
      </c>
      <c r="AL11" s="223"/>
      <c r="AM11" s="223"/>
    </row>
    <row r="12" spans="1:45">
      <c r="A12" s="118" t="s">
        <v>27</v>
      </c>
      <c r="B12" s="103">
        <v>129.595</v>
      </c>
      <c r="C12" s="121">
        <v>151.608</v>
      </c>
      <c r="D12" s="121">
        <v>137.36500000000001</v>
      </c>
      <c r="E12" s="121">
        <v>154.732</v>
      </c>
      <c r="F12" s="128">
        <v>152.09399999999999</v>
      </c>
      <c r="G12" s="126">
        <v>187.62100000000001</v>
      </c>
      <c r="H12" s="126">
        <v>230.55799999999999</v>
      </c>
      <c r="I12" s="126">
        <v>285.7</v>
      </c>
      <c r="J12" s="126">
        <v>373.8</v>
      </c>
      <c r="K12" s="126">
        <v>342.1</v>
      </c>
      <c r="L12" s="126">
        <v>275.39999999999998</v>
      </c>
      <c r="M12" s="126">
        <v>312.2</v>
      </c>
      <c r="N12" s="126">
        <v>401.85</v>
      </c>
      <c r="O12" s="126">
        <v>727.19500000000005</v>
      </c>
      <c r="P12" s="126">
        <v>584.52499999999998</v>
      </c>
      <c r="Q12" s="126">
        <v>357.947</v>
      </c>
      <c r="R12" s="109"/>
      <c r="S12" s="122" t="s">
        <v>26</v>
      </c>
      <c r="T12" s="123" t="e">
        <f>T42+T19+T20+T21+T22+T24+T25+#REF!+T49</f>
        <v>#REF!</v>
      </c>
      <c r="U12" s="123" t="e">
        <f>U42+U19+U20+U21+U22+U24+U25+#REF!+U49</f>
        <v>#REF!</v>
      </c>
      <c r="V12" s="123" t="e">
        <f>V42+V19+V20+V21+V22+V24+V25+#REF!+V49</f>
        <v>#REF!</v>
      </c>
      <c r="W12" s="124" t="e">
        <f t="shared" ref="W12:AI12" si="12">W19+SUM(W20:W25)+W42</f>
        <v>#REF!</v>
      </c>
      <c r="X12" s="124" t="e">
        <f t="shared" si="12"/>
        <v>#REF!</v>
      </c>
      <c r="Y12" s="124" t="e">
        <f t="shared" si="12"/>
        <v>#REF!</v>
      </c>
      <c r="Z12" s="124" t="e">
        <f t="shared" si="12"/>
        <v>#REF!</v>
      </c>
      <c r="AA12" s="124" t="e">
        <f t="shared" si="12"/>
        <v>#REF!</v>
      </c>
      <c r="AB12" s="124">
        <f t="shared" si="12"/>
        <v>7714.0999999999995</v>
      </c>
      <c r="AC12" s="124">
        <f t="shared" si="12"/>
        <v>8369.1999999999989</v>
      </c>
      <c r="AD12" s="124">
        <f t="shared" si="12"/>
        <v>8374</v>
      </c>
      <c r="AE12" s="124">
        <f t="shared" si="12"/>
        <v>8260.6</v>
      </c>
      <c r="AF12" s="124">
        <f t="shared" si="12"/>
        <v>9045.9870000000028</v>
      </c>
      <c r="AG12" s="124">
        <f t="shared" si="12"/>
        <v>8872.0720000000001</v>
      </c>
      <c r="AH12" s="124">
        <f t="shared" si="12"/>
        <v>7754.1009999999997</v>
      </c>
      <c r="AI12" s="124">
        <f t="shared" si="12"/>
        <v>6839.9359999999997</v>
      </c>
    </row>
    <row r="13" spans="1:45">
      <c r="A13" s="122" t="s">
        <v>28</v>
      </c>
      <c r="B13" s="143">
        <f>+B5-B8</f>
        <v>329.94199999999978</v>
      </c>
      <c r="C13" s="216">
        <f>+C5-C8</f>
        <v>465.45000000000027</v>
      </c>
      <c r="D13" s="216">
        <f>+D5-D8</f>
        <v>573.58200000000011</v>
      </c>
      <c r="E13" s="216">
        <f>+E5-E8</f>
        <v>643.42900000000031</v>
      </c>
      <c r="F13" s="216">
        <f>+F5-F8</f>
        <v>868.49399999999969</v>
      </c>
      <c r="G13" s="216">
        <f t="shared" ref="G13:N13" si="13">G5-G8</f>
        <v>1076.7970000000005</v>
      </c>
      <c r="H13" s="216">
        <f t="shared" si="13"/>
        <v>1278.7269999999999</v>
      </c>
      <c r="I13" s="216">
        <f t="shared" si="13"/>
        <v>1425.9</v>
      </c>
      <c r="J13" s="216">
        <f t="shared" si="13"/>
        <v>1578.1000000000004</v>
      </c>
      <c r="K13" s="216">
        <f t="shared" si="13"/>
        <v>768.09999999999945</v>
      </c>
      <c r="L13" s="216">
        <f t="shared" si="13"/>
        <v>125.59999999999991</v>
      </c>
      <c r="M13" s="216">
        <f t="shared" si="13"/>
        <v>358.5</v>
      </c>
      <c r="N13" s="216">
        <f t="shared" si="13"/>
        <v>472.71999999999935</v>
      </c>
      <c r="O13" s="216">
        <f>O5-O8</f>
        <v>-2.5739999999996144</v>
      </c>
      <c r="P13" s="216">
        <f>P5-P8</f>
        <v>-797.53399999999874</v>
      </c>
      <c r="Q13" s="216">
        <f>Q5-Q8</f>
        <v>-1776.344000000001</v>
      </c>
      <c r="R13" s="130"/>
      <c r="S13" s="131" t="s">
        <v>29</v>
      </c>
      <c r="T13" s="132">
        <f>B59+B60-B61</f>
        <v>5877.0386325999998</v>
      </c>
      <c r="U13" s="132">
        <f>C59+C60-C61</f>
        <v>5848.0016326000004</v>
      </c>
      <c r="V13" s="132">
        <f>D59+D60-D61</f>
        <v>6075.5386325999998</v>
      </c>
      <c r="W13" s="133">
        <v>598.04</v>
      </c>
      <c r="X13" s="133">
        <v>609.25099999999998</v>
      </c>
      <c r="Y13" s="133">
        <v>642.54</v>
      </c>
      <c r="Z13" s="133">
        <v>688.22299999999996</v>
      </c>
      <c r="AA13" s="133">
        <v>686.27</v>
      </c>
      <c r="AB13" s="133">
        <v>716.28200000000004</v>
      </c>
      <c r="AC13" s="133"/>
      <c r="AD13" s="121"/>
      <c r="AE13" s="121"/>
      <c r="AF13" s="121"/>
      <c r="AG13" s="121"/>
      <c r="AH13" s="121"/>
      <c r="AI13" s="121"/>
    </row>
    <row r="14" spans="1:45">
      <c r="A14" s="135" t="s">
        <v>30</v>
      </c>
      <c r="B14" s="136">
        <f t="shared" ref="B14:N14" si="14">+B13/B5</f>
        <v>0.20850219186963909</v>
      </c>
      <c r="C14" s="137">
        <f t="shared" si="14"/>
        <v>0.25572616175606888</v>
      </c>
      <c r="D14" s="137">
        <f t="shared" si="14"/>
        <v>0.26710658054661707</v>
      </c>
      <c r="E14" s="137">
        <f t="shared" si="14"/>
        <v>0.2431631859819757</v>
      </c>
      <c r="F14" s="138">
        <f t="shared" si="14"/>
        <v>0.26855102040816314</v>
      </c>
      <c r="G14" s="138">
        <f t="shared" si="14"/>
        <v>0.28710306916915596</v>
      </c>
      <c r="H14" s="138">
        <f t="shared" si="14"/>
        <v>0.30050219725988764</v>
      </c>
      <c r="I14" s="138">
        <f t="shared" si="14"/>
        <v>0.29151759246008219</v>
      </c>
      <c r="J14" s="138">
        <f t="shared" si="14"/>
        <v>0.2779176866315623</v>
      </c>
      <c r="K14" s="138">
        <f t="shared" si="14"/>
        <v>0.14968624546907267</v>
      </c>
      <c r="L14" s="138">
        <f t="shared" si="14"/>
        <v>4.0371572755616959E-2</v>
      </c>
      <c r="M14" s="138">
        <f t="shared" si="14"/>
        <v>9.3995804929208185E-2</v>
      </c>
      <c r="N14" s="138">
        <f t="shared" si="14"/>
        <v>8.4928863632688659E-2</v>
      </c>
      <c r="O14" s="138">
        <f>+O13/O5</f>
        <v>-3.6397249250308785E-4</v>
      </c>
      <c r="P14" s="138">
        <f>+P13/P5</f>
        <v>-0.11641100396889845</v>
      </c>
      <c r="Q14" s="138">
        <f>+Q13/Q5</f>
        <v>-0.40045737082114863</v>
      </c>
      <c r="R14" s="139"/>
      <c r="S14" s="118" t="s">
        <v>31</v>
      </c>
      <c r="T14" s="119"/>
      <c r="U14" s="119"/>
      <c r="V14" s="119"/>
      <c r="W14" s="119">
        <v>332</v>
      </c>
      <c r="X14" s="119">
        <v>287.00700000000001</v>
      </c>
      <c r="Y14" s="119">
        <v>284.51100000000002</v>
      </c>
      <c r="Z14" s="119">
        <v>337.1</v>
      </c>
      <c r="AA14" s="119">
        <v>322.5</v>
      </c>
      <c r="AB14" s="119">
        <v>306.10000000000002</v>
      </c>
      <c r="AC14" s="121">
        <v>308.3</v>
      </c>
      <c r="AD14" s="120">
        <v>254.9</v>
      </c>
      <c r="AE14" s="120">
        <v>215.2</v>
      </c>
      <c r="AF14" s="121">
        <v>350.1</v>
      </c>
      <c r="AG14" s="121">
        <v>409.62299999999999</v>
      </c>
      <c r="AH14" s="121">
        <v>382.92200000000003</v>
      </c>
      <c r="AI14" s="121">
        <v>372.197</v>
      </c>
    </row>
    <row r="15" spans="1:45">
      <c r="A15" s="200" t="s">
        <v>16</v>
      </c>
      <c r="B15" s="201"/>
      <c r="C15" s="202"/>
      <c r="D15" s="202">
        <f t="shared" ref="D15:N15" si="15">D13/C13-1</f>
        <v>0.23231711247180109</v>
      </c>
      <c r="E15" s="202">
        <f t="shared" si="15"/>
        <v>0.12177334714129828</v>
      </c>
      <c r="F15" s="202">
        <f t="shared" si="15"/>
        <v>0.34978995351468356</v>
      </c>
      <c r="G15" s="202">
        <f t="shared" si="15"/>
        <v>0.2398439137173094</v>
      </c>
      <c r="H15" s="203">
        <f t="shared" si="15"/>
        <v>0.18752838278709838</v>
      </c>
      <c r="I15" s="203">
        <f t="shared" si="15"/>
        <v>0.11509337020333521</v>
      </c>
      <c r="J15" s="203">
        <f t="shared" si="15"/>
        <v>0.10673960305771812</v>
      </c>
      <c r="K15" s="203">
        <f t="shared" si="15"/>
        <v>-0.51327545782903539</v>
      </c>
      <c r="L15" s="203">
        <f t="shared" si="15"/>
        <v>-0.83647962504882178</v>
      </c>
      <c r="M15" s="203">
        <f t="shared" si="15"/>
        <v>1.854299363057327</v>
      </c>
      <c r="N15" s="203">
        <f t="shared" si="15"/>
        <v>0.31860529986052821</v>
      </c>
      <c r="O15" s="203">
        <f>O13/N13-1</f>
        <v>-1.0054450837705187</v>
      </c>
      <c r="P15" s="203" t="s">
        <v>150</v>
      </c>
      <c r="Q15" s="203" t="s">
        <v>150</v>
      </c>
      <c r="R15" s="139"/>
      <c r="S15" s="118" t="s">
        <v>32</v>
      </c>
      <c r="T15" s="119"/>
      <c r="U15" s="119"/>
      <c r="V15" s="119"/>
      <c r="W15" s="119">
        <v>9</v>
      </c>
      <c r="X15" s="119">
        <v>7.9989999999999997</v>
      </c>
      <c r="Y15" s="119">
        <v>11.382999999999999</v>
      </c>
      <c r="Z15" s="119">
        <v>10.6</v>
      </c>
      <c r="AA15" s="119">
        <v>10.1</v>
      </c>
      <c r="AB15" s="119">
        <v>10.199999999999999</v>
      </c>
      <c r="AC15" s="119">
        <v>10.199999999999999</v>
      </c>
      <c r="AD15" s="120">
        <v>8.6</v>
      </c>
      <c r="AE15" s="120">
        <v>7</v>
      </c>
      <c r="AF15" s="121">
        <v>6</v>
      </c>
      <c r="AG15" s="121">
        <v>9.2620000000000005</v>
      </c>
      <c r="AH15" s="121">
        <v>8.4749999999999996</v>
      </c>
      <c r="AI15" s="121">
        <f>7.445+28.857</f>
        <v>36.302</v>
      </c>
    </row>
    <row r="16" spans="1:45">
      <c r="A16" s="200"/>
      <c r="B16" s="201"/>
      <c r="C16" s="202"/>
      <c r="D16" s="202"/>
      <c r="E16" s="202"/>
      <c r="F16" s="202"/>
      <c r="G16" s="202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139"/>
      <c r="S16" s="118" t="s">
        <v>158</v>
      </c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20" t="s">
        <v>159</v>
      </c>
      <c r="AE16" s="120">
        <v>1.5</v>
      </c>
      <c r="AF16" s="121">
        <v>1.405</v>
      </c>
      <c r="AG16" s="121">
        <v>1.353</v>
      </c>
      <c r="AH16" s="121">
        <v>1.3009999999999999</v>
      </c>
      <c r="AI16" s="121">
        <v>1.274</v>
      </c>
    </row>
    <row r="17" spans="1:36">
      <c r="A17" s="200" t="s">
        <v>18</v>
      </c>
      <c r="B17" s="204"/>
      <c r="C17" s="205"/>
      <c r="D17" s="205"/>
      <c r="E17" s="202"/>
      <c r="F17" s="202"/>
      <c r="G17" s="202"/>
      <c r="H17" s="202">
        <f>(H13/D13)^(1/3)-1</f>
        <v>0.30635368229025595</v>
      </c>
      <c r="I17" s="202">
        <f>(I13/E13)^(1/3)-1</f>
        <v>0.30375547726122898</v>
      </c>
      <c r="J17" s="203">
        <f t="shared" ref="J17:N17" si="16">(J13/G13)^(1/3)-1</f>
        <v>0.13588289844788859</v>
      </c>
      <c r="K17" s="203">
        <f t="shared" si="16"/>
        <v>-0.15625092458031931</v>
      </c>
      <c r="L17" s="203">
        <f t="shared" si="16"/>
        <v>-0.55506129123662817</v>
      </c>
      <c r="M17" s="203">
        <f t="shared" si="16"/>
        <v>-0.38982902258102137</v>
      </c>
      <c r="N17" s="203">
        <f t="shared" si="16"/>
        <v>-0.14939342128655386</v>
      </c>
      <c r="O17" s="203">
        <f>(O13/L13)^(1/3)-1</f>
        <v>-1.2736568358000149</v>
      </c>
      <c r="P17" s="203">
        <f>(P13/M13)^(1/3)-1</f>
        <v>-2.3054292783975709</v>
      </c>
      <c r="Q17" s="203" t="s">
        <v>150</v>
      </c>
      <c r="R17" s="139"/>
      <c r="S17" s="118" t="s">
        <v>157</v>
      </c>
      <c r="T17" s="119"/>
      <c r="U17" s="119"/>
      <c r="V17" s="119"/>
      <c r="W17" s="119"/>
      <c r="X17" s="119"/>
      <c r="Y17" s="119"/>
      <c r="Z17" s="119"/>
      <c r="AA17" s="119"/>
      <c r="AB17" s="119">
        <v>0.2</v>
      </c>
      <c r="AC17" s="119">
        <v>2.2000000000000002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</row>
    <row r="18" spans="1:36">
      <c r="A18" s="113" t="s">
        <v>33</v>
      </c>
      <c r="B18" s="114">
        <v>20.344999999999999</v>
      </c>
      <c r="C18" s="115">
        <v>51.054000000000002</v>
      </c>
      <c r="D18" s="116">
        <v>13.502000000000001</v>
      </c>
      <c r="E18" s="116">
        <v>7</v>
      </c>
      <c r="F18" s="116">
        <v>12.641999999999999</v>
      </c>
      <c r="G18" s="116">
        <v>15.7</v>
      </c>
      <c r="H18" s="116">
        <v>29.9</v>
      </c>
      <c r="I18" s="116">
        <v>12.4</v>
      </c>
      <c r="J18" s="116">
        <v>17.399999999999999</v>
      </c>
      <c r="K18" s="116">
        <v>29.7</v>
      </c>
      <c r="L18" s="116">
        <v>10.3</v>
      </c>
      <c r="M18" s="116">
        <v>18.8</v>
      </c>
      <c r="N18" s="126">
        <v>34.229999999999997</v>
      </c>
      <c r="O18" s="126">
        <v>48.862000000000002</v>
      </c>
      <c r="P18" s="126">
        <v>84.364999999999995</v>
      </c>
      <c r="Q18" s="126">
        <v>49.485999999999997</v>
      </c>
      <c r="R18" s="139"/>
      <c r="S18" s="118" t="s">
        <v>34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>
        <v>21.4</v>
      </c>
      <c r="AD18" s="121">
        <v>9.3000000000000007</v>
      </c>
      <c r="AE18" s="121">
        <v>1.3</v>
      </c>
      <c r="AF18" s="121">
        <v>2.33</v>
      </c>
      <c r="AG18" s="121">
        <v>22.742000000000001</v>
      </c>
      <c r="AH18" s="121">
        <v>20.956</v>
      </c>
      <c r="AI18" s="121">
        <v>18.593</v>
      </c>
    </row>
    <row r="19" spans="1:36">
      <c r="A19" s="118" t="s">
        <v>35</v>
      </c>
      <c r="B19" s="140">
        <v>27.133999999999997</v>
      </c>
      <c r="C19" s="103">
        <v>29.452999999999996</v>
      </c>
      <c r="D19" s="103">
        <v>29.820999999999998</v>
      </c>
      <c r="E19" s="103">
        <v>29.643000000000001</v>
      </c>
      <c r="F19" s="103">
        <v>36.771000000000001</v>
      </c>
      <c r="G19" s="103">
        <v>37.381</v>
      </c>
      <c r="H19" s="103">
        <v>42.8</v>
      </c>
      <c r="I19" s="103">
        <v>51.3</v>
      </c>
      <c r="J19" s="103">
        <v>55.8</v>
      </c>
      <c r="K19" s="103">
        <v>75.099999999999994</v>
      </c>
      <c r="L19" s="103">
        <v>72.7</v>
      </c>
      <c r="M19" s="103">
        <v>66.3</v>
      </c>
      <c r="N19" s="126">
        <v>52.07</v>
      </c>
      <c r="O19" s="126">
        <v>55.716000000000001</v>
      </c>
      <c r="P19" s="126">
        <v>60.481000000000002</v>
      </c>
      <c r="Q19" s="126">
        <v>45.329000000000001</v>
      </c>
      <c r="R19" s="139"/>
      <c r="S19" s="141" t="s">
        <v>36</v>
      </c>
      <c r="T19" s="141">
        <v>350.25599999999997</v>
      </c>
      <c r="U19" s="141">
        <v>362.00099999999998</v>
      </c>
      <c r="V19" s="141">
        <v>351.90200000000004</v>
      </c>
      <c r="W19" s="142">
        <f t="shared" ref="W19:AF19" si="17">+SUM(W14:W18)</f>
        <v>341</v>
      </c>
      <c r="X19" s="142">
        <f t="shared" si="17"/>
        <v>295.00600000000003</v>
      </c>
      <c r="Y19" s="142">
        <f t="shared" si="17"/>
        <v>295.89400000000001</v>
      </c>
      <c r="Z19" s="142">
        <f t="shared" si="17"/>
        <v>347.70000000000005</v>
      </c>
      <c r="AA19" s="142">
        <f t="shared" si="17"/>
        <v>332.6</v>
      </c>
      <c r="AB19" s="142">
        <f t="shared" si="17"/>
        <v>316.5</v>
      </c>
      <c r="AC19" s="142">
        <f t="shared" si="17"/>
        <v>342.09999999999997</v>
      </c>
      <c r="AD19" s="142">
        <f t="shared" si="17"/>
        <v>272.8</v>
      </c>
      <c r="AE19" s="142">
        <f t="shared" si="17"/>
        <v>225</v>
      </c>
      <c r="AF19" s="142">
        <f t="shared" si="17"/>
        <v>359.83499999999998</v>
      </c>
      <c r="AG19" s="142">
        <f>+SUM(AG14:AG18)</f>
        <v>442.98</v>
      </c>
      <c r="AH19" s="142">
        <f>+SUM(AH14:AH18)</f>
        <v>413.65400000000005</v>
      </c>
      <c r="AI19" s="142">
        <f>+SUM(AI14:AI18)</f>
        <v>428.36600000000004</v>
      </c>
    </row>
    <row r="20" spans="1:36">
      <c r="A20" s="118" t="s">
        <v>37</v>
      </c>
      <c r="B20" s="127">
        <v>153.32499999999999</v>
      </c>
      <c r="C20" s="103">
        <v>192.685</v>
      </c>
      <c r="D20" s="103">
        <v>183.07900000000001</v>
      </c>
      <c r="E20" s="103">
        <v>192.28</v>
      </c>
      <c r="F20" s="103">
        <v>212</v>
      </c>
      <c r="G20" s="103">
        <v>228.27</v>
      </c>
      <c r="H20" s="103">
        <v>324.3</v>
      </c>
      <c r="I20" s="103">
        <v>307.2</v>
      </c>
      <c r="J20" s="103">
        <v>255.7</v>
      </c>
      <c r="K20" s="103">
        <v>243.8</v>
      </c>
      <c r="L20" s="103">
        <v>284.39999999999998</v>
      </c>
      <c r="M20" s="103">
        <v>259</v>
      </c>
      <c r="N20" s="126">
        <v>306.64999999999998</v>
      </c>
      <c r="O20" s="126">
        <v>363.428</v>
      </c>
      <c r="P20" s="126">
        <v>369.80900000000003</v>
      </c>
      <c r="Q20" s="126">
        <v>223.01900000000001</v>
      </c>
      <c r="R20" s="130"/>
      <c r="S20" s="118" t="s">
        <v>38</v>
      </c>
      <c r="T20" s="119"/>
      <c r="U20" s="119"/>
      <c r="V20" s="119"/>
      <c r="W20" s="119"/>
      <c r="X20" s="121"/>
      <c r="Y20" s="119">
        <v>13.822999999999999</v>
      </c>
      <c r="Z20" s="119">
        <v>0</v>
      </c>
      <c r="AA20" s="119">
        <v>0</v>
      </c>
      <c r="AB20" s="119">
        <v>0.2</v>
      </c>
      <c r="AC20" s="119"/>
      <c r="AD20" s="121"/>
      <c r="AE20" s="121"/>
      <c r="AF20" s="121">
        <v>11.023999999999999</v>
      </c>
      <c r="AG20" s="121">
        <v>0</v>
      </c>
      <c r="AH20" s="121">
        <v>0</v>
      </c>
      <c r="AI20" s="121">
        <v>0</v>
      </c>
    </row>
    <row r="21" spans="1:36">
      <c r="A21" s="118" t="s">
        <v>39</v>
      </c>
      <c r="B21" s="140"/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61.7</v>
      </c>
      <c r="L21" s="103">
        <v>0</v>
      </c>
      <c r="M21" s="103">
        <v>0</v>
      </c>
      <c r="N21" s="126">
        <v>0</v>
      </c>
      <c r="O21" s="126">
        <v>0</v>
      </c>
      <c r="P21" s="126">
        <v>0</v>
      </c>
      <c r="Q21" s="126">
        <v>0</v>
      </c>
      <c r="R21" s="139"/>
      <c r="S21" s="118" t="s">
        <v>24</v>
      </c>
      <c r="T21" s="119"/>
      <c r="U21" s="119"/>
      <c r="V21" s="119"/>
      <c r="W21" s="119"/>
      <c r="X21" s="121"/>
      <c r="Y21" s="119"/>
      <c r="Z21" s="119"/>
      <c r="AA21" s="119"/>
      <c r="AB21" s="119">
        <v>7.6</v>
      </c>
      <c r="AC21" s="119">
        <v>7.1</v>
      </c>
      <c r="AD21" s="121">
        <v>4.2</v>
      </c>
      <c r="AE21" s="121">
        <v>0.9</v>
      </c>
      <c r="AF21" s="121">
        <v>0.68200000000000005</v>
      </c>
      <c r="AG21" s="121">
        <v>0.72399999999999998</v>
      </c>
      <c r="AH21" s="121">
        <v>2.0369999999999999</v>
      </c>
      <c r="AI21" s="121">
        <v>0.47499999999999998</v>
      </c>
    </row>
    <row r="22" spans="1:36">
      <c r="A22" s="122" t="s">
        <v>40</v>
      </c>
      <c r="B22" s="143">
        <f t="shared" ref="B22:N22" si="18">+B13-B19-B20-B21+B18</f>
        <v>169.82799999999978</v>
      </c>
      <c r="C22" s="143">
        <f t="shared" si="18"/>
        <v>294.36600000000033</v>
      </c>
      <c r="D22" s="143">
        <f t="shared" si="18"/>
        <v>374.18400000000008</v>
      </c>
      <c r="E22" s="143">
        <f t="shared" si="18"/>
        <v>428.50600000000031</v>
      </c>
      <c r="F22" s="144">
        <f t="shared" si="18"/>
        <v>632.36499999999978</v>
      </c>
      <c r="G22" s="124">
        <f t="shared" si="18"/>
        <v>826.84600000000046</v>
      </c>
      <c r="H22" s="124">
        <f t="shared" si="18"/>
        <v>941.52699999999993</v>
      </c>
      <c r="I22" s="124">
        <f t="shared" si="18"/>
        <v>1079.8000000000002</v>
      </c>
      <c r="J22" s="124">
        <f t="shared" si="18"/>
        <v>1284.0000000000005</v>
      </c>
      <c r="K22" s="124">
        <f t="shared" si="18"/>
        <v>417.19999999999942</v>
      </c>
      <c r="L22" s="124">
        <f t="shared" si="18"/>
        <v>-221.20000000000005</v>
      </c>
      <c r="M22" s="124">
        <f t="shared" si="18"/>
        <v>51.999999999999986</v>
      </c>
      <c r="N22" s="124">
        <f t="shared" si="18"/>
        <v>148.22999999999936</v>
      </c>
      <c r="O22" s="124">
        <f>+O13-O19-O20-O21+O18</f>
        <v>-372.8559999999996</v>
      </c>
      <c r="P22" s="124">
        <f>+P13-P19-P20-P21+P18</f>
        <v>-1143.4589999999987</v>
      </c>
      <c r="Q22" s="124">
        <f>+Q13-Q19-Q20-Q21+Q18</f>
        <v>-1995.2060000000008</v>
      </c>
      <c r="R22" s="139"/>
      <c r="S22" s="118" t="s">
        <v>41</v>
      </c>
      <c r="T22" s="119">
        <v>61.516999999999996</v>
      </c>
      <c r="U22" s="119">
        <v>99.027000000000001</v>
      </c>
      <c r="V22" s="119">
        <v>87.936999999999998</v>
      </c>
      <c r="W22" s="119">
        <v>89.433000000000007</v>
      </c>
      <c r="X22" s="121">
        <v>168.01900000000001</v>
      </c>
      <c r="Y22" s="119">
        <v>80.739000000000004</v>
      </c>
      <c r="Z22" s="119">
        <v>72.3</v>
      </c>
      <c r="AA22" s="119">
        <v>66.900000000000006</v>
      </c>
      <c r="AB22" s="119">
        <v>64.7</v>
      </c>
      <c r="AC22" s="119">
        <v>25.5</v>
      </c>
      <c r="AD22" s="120">
        <v>25.5</v>
      </c>
      <c r="AE22" s="120">
        <v>25.5</v>
      </c>
      <c r="AF22" s="121">
        <v>25.484000000000002</v>
      </c>
      <c r="AG22" s="121">
        <v>25.489000000000001</v>
      </c>
      <c r="AH22" s="121">
        <v>1.4890000000000001</v>
      </c>
      <c r="AI22" s="121">
        <v>1.494</v>
      </c>
    </row>
    <row r="23" spans="1:36">
      <c r="A23" s="118" t="s">
        <v>42</v>
      </c>
      <c r="B23" s="140">
        <v>32.290000000000006</v>
      </c>
      <c r="C23" s="103">
        <v>80.221000000000004</v>
      </c>
      <c r="D23" s="103">
        <v>127.58</v>
      </c>
      <c r="E23" s="103">
        <v>164.54300000000001</v>
      </c>
      <c r="F23" s="103">
        <v>222.18100000000001</v>
      </c>
      <c r="G23" s="103">
        <v>306.84699999999998</v>
      </c>
      <c r="H23" s="103">
        <v>342.37</v>
      </c>
      <c r="I23" s="103">
        <f>398.1-30.6</f>
        <v>367.5</v>
      </c>
      <c r="J23" s="103">
        <f>461.1-3.7</f>
        <v>457.40000000000003</v>
      </c>
      <c r="K23" s="103">
        <f>119.4+6.6-13.2</f>
        <v>112.8</v>
      </c>
      <c r="L23" s="103">
        <f>-2.4+0.1</f>
        <v>-2.2999999999999998</v>
      </c>
      <c r="M23" s="103">
        <v>1.1000000000000001</v>
      </c>
      <c r="N23" s="103">
        <v>52.71</v>
      </c>
      <c r="O23" s="103">
        <v>26.327000000000002</v>
      </c>
      <c r="P23" s="103">
        <v>-298.80599999999998</v>
      </c>
      <c r="Q23" s="103">
        <v>-533.40899999999999</v>
      </c>
      <c r="R23" s="109"/>
      <c r="S23" s="145" t="s">
        <v>44</v>
      </c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7"/>
      <c r="AE23" s="147"/>
      <c r="AF23" s="121">
        <v>27.838999999999999</v>
      </c>
      <c r="AG23" s="121">
        <v>113.581</v>
      </c>
      <c r="AH23" s="121">
        <v>419.81099999999998</v>
      </c>
      <c r="AI23" s="121">
        <v>732.20500000000004</v>
      </c>
    </row>
    <row r="24" spans="1:36">
      <c r="A24" s="145" t="s">
        <v>43</v>
      </c>
      <c r="B24" s="145"/>
      <c r="C24" s="148"/>
      <c r="D24" s="149">
        <v>0</v>
      </c>
      <c r="E24" s="149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03">
        <v>0</v>
      </c>
      <c r="O24" s="103">
        <v>0</v>
      </c>
      <c r="P24" s="103">
        <v>0</v>
      </c>
      <c r="Q24" s="103">
        <v>0</v>
      </c>
      <c r="R24" s="109"/>
      <c r="S24" s="118" t="s">
        <v>46</v>
      </c>
      <c r="T24" s="119"/>
      <c r="U24" s="119"/>
      <c r="V24" s="119"/>
      <c r="W24" s="119"/>
      <c r="X24" s="119"/>
      <c r="Y24" s="119"/>
      <c r="Z24" s="119">
        <v>3.4</v>
      </c>
      <c r="AA24" s="119">
        <v>3.4</v>
      </c>
      <c r="AB24" s="119">
        <v>3.1</v>
      </c>
      <c r="AC24" s="119">
        <v>3.3</v>
      </c>
      <c r="AD24" s="147">
        <v>2.4</v>
      </c>
      <c r="AE24" s="147">
        <v>8.1</v>
      </c>
      <c r="AF24" s="121">
        <v>7.89</v>
      </c>
      <c r="AG24" s="121">
        <v>44.082000000000001</v>
      </c>
      <c r="AH24" s="121">
        <v>97.052000000000007</v>
      </c>
      <c r="AI24" s="121">
        <v>123.005</v>
      </c>
    </row>
    <row r="25" spans="1:36">
      <c r="A25" s="200" t="s">
        <v>45</v>
      </c>
      <c r="B25" s="208"/>
      <c r="C25" s="209">
        <f t="shared" ref="C25:F25" si="19">+C23/C22</f>
        <v>0.27252128302861034</v>
      </c>
      <c r="D25" s="209">
        <f t="shared" si="19"/>
        <v>0.3409552519616017</v>
      </c>
      <c r="E25" s="209">
        <f t="shared" si="19"/>
        <v>0.38399228948952846</v>
      </c>
      <c r="F25" s="209">
        <f t="shared" si="19"/>
        <v>0.35134929985056113</v>
      </c>
      <c r="G25" s="209">
        <f>+G23/G22</f>
        <v>0.37110538117134245</v>
      </c>
      <c r="H25" s="210">
        <f>+H23/H22</f>
        <v>0.3636326945483242</v>
      </c>
      <c r="I25" s="210">
        <f t="shared" ref="I25:N25" si="20">I23/I22</f>
        <v>0.34034080385256521</v>
      </c>
      <c r="J25" s="210">
        <f t="shared" si="20"/>
        <v>0.3562305295950155</v>
      </c>
      <c r="K25" s="210">
        <f t="shared" si="20"/>
        <v>0.27037392138063315</v>
      </c>
      <c r="L25" s="210">
        <f t="shared" si="20"/>
        <v>1.0397830018083179E-2</v>
      </c>
      <c r="M25" s="210">
        <f t="shared" si="20"/>
        <v>2.1153846153846162E-2</v>
      </c>
      <c r="N25" s="210">
        <f t="shared" si="20"/>
        <v>0.35559603319166316</v>
      </c>
      <c r="O25" s="210">
        <f>O23/O22</f>
        <v>-7.0609028686678052E-2</v>
      </c>
      <c r="P25" s="210">
        <f t="shared" ref="P25:Q25" si="21">P23/P22</f>
        <v>0.26131763360120502</v>
      </c>
      <c r="Q25" s="210">
        <f>Q23/Q22</f>
        <v>0.26734532674821537</v>
      </c>
      <c r="R25" s="109"/>
      <c r="S25" s="118" t="s">
        <v>48</v>
      </c>
      <c r="T25" s="119">
        <v>106.667</v>
      </c>
      <c r="U25" s="119">
        <v>39.783000000000001</v>
      </c>
      <c r="V25" s="119">
        <v>9.4619999999999997</v>
      </c>
      <c r="W25" s="119">
        <v>8.4540000000000006</v>
      </c>
      <c r="X25" s="119">
        <v>71.322000000000003</v>
      </c>
      <c r="Y25" s="119">
        <v>64.710999999999999</v>
      </c>
      <c r="Z25" s="119">
        <v>68</v>
      </c>
      <c r="AA25" s="119">
        <v>30.8</v>
      </c>
      <c r="AB25" s="119">
        <v>11.2</v>
      </c>
      <c r="AC25" s="119">
        <v>15.4</v>
      </c>
      <c r="AD25" s="147">
        <v>18.600000000000001</v>
      </c>
      <c r="AE25" s="147">
        <v>10.9</v>
      </c>
      <c r="AF25" s="121">
        <v>11.343</v>
      </c>
      <c r="AG25" s="121">
        <v>3.1429999999999998</v>
      </c>
      <c r="AH25" s="121">
        <v>1.766</v>
      </c>
      <c r="AI25" s="121">
        <v>1.101</v>
      </c>
    </row>
    <row r="26" spans="1:36">
      <c r="A26" s="122" t="s">
        <v>47</v>
      </c>
      <c r="B26" s="143">
        <f>+B22-B23</f>
        <v>137.53799999999978</v>
      </c>
      <c r="C26" s="143">
        <f>+C22-C23</f>
        <v>214.14500000000032</v>
      </c>
      <c r="D26" s="143">
        <f>+D22-D23</f>
        <v>246.6040000000001</v>
      </c>
      <c r="E26" s="143">
        <f>+E22-E23</f>
        <v>263.96300000000031</v>
      </c>
      <c r="F26" s="124">
        <f>+F22-F23</f>
        <v>410.18399999999974</v>
      </c>
      <c r="G26" s="124">
        <f>+G22-G23+G24</f>
        <v>519.99900000000048</v>
      </c>
      <c r="H26" s="124">
        <f>+H22-H23+H24</f>
        <v>599.15699999999993</v>
      </c>
      <c r="I26" s="124">
        <f t="shared" ref="I26:N26" si="22">I22-I23</f>
        <v>712.30000000000018</v>
      </c>
      <c r="J26" s="124">
        <f t="shared" si="22"/>
        <v>826.60000000000036</v>
      </c>
      <c r="K26" s="124">
        <f t="shared" si="22"/>
        <v>304.39999999999941</v>
      </c>
      <c r="L26" s="124">
        <f t="shared" si="22"/>
        <v>-218.90000000000003</v>
      </c>
      <c r="M26" s="124">
        <f t="shared" si="22"/>
        <v>50.899999999999984</v>
      </c>
      <c r="N26" s="124">
        <f t="shared" si="22"/>
        <v>95.519999999999357</v>
      </c>
      <c r="O26" s="124">
        <f>O22-O23</f>
        <v>-399.18299999999959</v>
      </c>
      <c r="P26" s="124">
        <f>P22-P23</f>
        <v>-844.65299999999866</v>
      </c>
      <c r="Q26" s="124">
        <f>Q22-Q23</f>
        <v>-1461.7970000000009</v>
      </c>
      <c r="R26" s="109"/>
      <c r="S26" s="122" t="s">
        <v>50</v>
      </c>
      <c r="T26" s="123">
        <f>T27+T28+T30+T32+T33+T34</f>
        <v>1744.8679999999999</v>
      </c>
      <c r="U26" s="123">
        <f t="shared" ref="U26:AA26" si="23">U27+U28+U30+U32+U33+U34</f>
        <v>2223.232</v>
      </c>
      <c r="V26" s="123">
        <f t="shared" si="23"/>
        <v>2502.9539999999997</v>
      </c>
      <c r="W26" s="124">
        <f t="shared" si="23"/>
        <v>3684.2020000000002</v>
      </c>
      <c r="X26" s="124">
        <f t="shared" si="23"/>
        <v>4350.0420000000004</v>
      </c>
      <c r="Y26" s="124">
        <f t="shared" si="23"/>
        <v>5643.5209999999997</v>
      </c>
      <c r="Z26" s="124">
        <f t="shared" si="23"/>
        <v>7278.5999999999995</v>
      </c>
      <c r="AA26" s="124">
        <f t="shared" si="23"/>
        <v>6879.7</v>
      </c>
      <c r="AB26" s="124">
        <f>AB27+AB28+AB30+AB32+AB33+AB34</f>
        <v>7898.9999999999991</v>
      </c>
      <c r="AC26" s="124">
        <f>AC27+AC28+AC30+AC32+AC33+AC34</f>
        <v>8621.9</v>
      </c>
      <c r="AD26" s="124">
        <f>AD27+AD28+AD30+AD32+AD33+AD34</f>
        <v>8441.7000000000007</v>
      </c>
      <c r="AE26" s="124">
        <f>AE27+AE28+AE30+AE32+AE33+AE34+AE31+AE29</f>
        <v>8617.2000000000007</v>
      </c>
      <c r="AF26" s="124">
        <f>AF27+AF28+AF30+AF32+AF33+AF34+AF31+AF29</f>
        <v>9940.6010000000024</v>
      </c>
      <c r="AG26" s="124">
        <f>SUM(AG27:AG34)</f>
        <v>9590.3729999999996</v>
      </c>
      <c r="AH26" s="124">
        <f t="shared" ref="AH26:AI26" si="24">SUM(AH27:AH34)</f>
        <v>7725.088999999999</v>
      </c>
      <c r="AI26" s="124">
        <f t="shared" si="24"/>
        <v>6569.7149999999992</v>
      </c>
    </row>
    <row r="27" spans="1:36">
      <c r="A27" s="150" t="s">
        <v>49</v>
      </c>
      <c r="B27" s="151"/>
      <c r="C27" s="152"/>
      <c r="D27" s="152"/>
      <c r="E27" s="152"/>
      <c r="F27" s="153">
        <v>1</v>
      </c>
      <c r="G27" s="153">
        <v>-1</v>
      </c>
      <c r="H27" s="153">
        <v>-18</v>
      </c>
      <c r="I27" s="153">
        <v>4.5</v>
      </c>
      <c r="J27" s="153">
        <v>5.0999999999999996</v>
      </c>
      <c r="K27" s="153">
        <v>-0.5</v>
      </c>
      <c r="L27" s="153">
        <v>4</v>
      </c>
      <c r="M27" s="153">
        <v>2</v>
      </c>
      <c r="N27" s="103">
        <v>-1.87</v>
      </c>
      <c r="O27" s="103">
        <v>-7.4880000000000004</v>
      </c>
      <c r="P27" s="103">
        <v>-4.9379999999999997</v>
      </c>
      <c r="Q27" s="103">
        <v>-3.161</v>
      </c>
      <c r="R27" s="109"/>
      <c r="S27" s="118" t="s">
        <v>52</v>
      </c>
      <c r="T27" s="119">
        <v>531.30600000000004</v>
      </c>
      <c r="U27" s="119">
        <v>969.18399999999997</v>
      </c>
      <c r="V27" s="119">
        <v>1464.674</v>
      </c>
      <c r="W27" s="119">
        <v>2005.0900000000001</v>
      </c>
      <c r="X27" s="121">
        <v>2886.848</v>
      </c>
      <c r="Y27" s="146">
        <v>3876.42</v>
      </c>
      <c r="Z27" s="146">
        <v>5004.3999999999996</v>
      </c>
      <c r="AA27" s="146">
        <v>5297.1</v>
      </c>
      <c r="AB27" s="146">
        <v>6027.4</v>
      </c>
      <c r="AC27" s="146">
        <v>7135.9</v>
      </c>
      <c r="AD27" s="121">
        <v>7303.2</v>
      </c>
      <c r="AE27" s="121">
        <v>7149.5</v>
      </c>
      <c r="AF27" s="121">
        <v>7345.7420000000002</v>
      </c>
      <c r="AG27" s="121">
        <v>6823.1379999999999</v>
      </c>
      <c r="AH27" s="121">
        <v>5683.4939999999997</v>
      </c>
      <c r="AI27" s="121">
        <v>4773.07</v>
      </c>
    </row>
    <row r="28" spans="1:36">
      <c r="A28" s="150" t="s">
        <v>51</v>
      </c>
      <c r="B28" s="151"/>
      <c r="C28" s="152"/>
      <c r="D28" s="152"/>
      <c r="E28" s="152"/>
      <c r="F28" s="153"/>
      <c r="G28" s="153"/>
      <c r="H28" s="153"/>
      <c r="I28" s="153">
        <v>-5.3</v>
      </c>
      <c r="J28" s="153">
        <v>-2.2999999999999998</v>
      </c>
      <c r="K28" s="153">
        <v>-2.5</v>
      </c>
      <c r="L28" s="153">
        <f>0.1</f>
        <v>0.1</v>
      </c>
      <c r="M28" s="153">
        <v>0</v>
      </c>
      <c r="N28" s="103">
        <v>0</v>
      </c>
      <c r="O28" s="103">
        <v>0</v>
      </c>
      <c r="P28" s="103">
        <v>0</v>
      </c>
      <c r="Q28" s="103">
        <v>0</v>
      </c>
      <c r="R28" s="109"/>
      <c r="S28" s="118" t="s">
        <v>54</v>
      </c>
      <c r="T28" s="119">
        <v>844.46100000000001</v>
      </c>
      <c r="U28" s="119">
        <v>947.14900000000011</v>
      </c>
      <c r="V28" s="119">
        <v>742.40600000000006</v>
      </c>
      <c r="W28" s="119">
        <v>1405.539</v>
      </c>
      <c r="X28" s="121">
        <v>1268.297</v>
      </c>
      <c r="Y28" s="146">
        <v>1069.1210000000001</v>
      </c>
      <c r="Z28" s="146">
        <v>1905.4</v>
      </c>
      <c r="AA28" s="146">
        <v>1405.7</v>
      </c>
      <c r="AB28" s="146">
        <v>1590.2</v>
      </c>
      <c r="AC28" s="146">
        <v>1048.2</v>
      </c>
      <c r="AD28" s="121">
        <v>547.29999999999995</v>
      </c>
      <c r="AE28" s="121">
        <v>566.4</v>
      </c>
      <c r="AF28" s="121">
        <v>1267.6030000000001</v>
      </c>
      <c r="AG28" s="121">
        <v>1452.5219999999999</v>
      </c>
      <c r="AH28" s="121">
        <v>1059.7139999999999</v>
      </c>
      <c r="AI28" s="121">
        <v>753.47199999999998</v>
      </c>
      <c r="AJ28" s="99"/>
    </row>
    <row r="29" spans="1:36">
      <c r="A29" s="122" t="s">
        <v>53</v>
      </c>
      <c r="B29" s="124">
        <f t="shared" ref="B29:F29" si="25">B26-B27</f>
        <v>137.53799999999978</v>
      </c>
      <c r="C29" s="124">
        <f t="shared" si="25"/>
        <v>214.14500000000032</v>
      </c>
      <c r="D29" s="124">
        <f t="shared" si="25"/>
        <v>246.6040000000001</v>
      </c>
      <c r="E29" s="124">
        <f>E26-E27</f>
        <v>263.96300000000031</v>
      </c>
      <c r="F29" s="124">
        <f t="shared" si="25"/>
        <v>409.18399999999974</v>
      </c>
      <c r="G29" s="124">
        <f>G26-G27</f>
        <v>520.99900000000048</v>
      </c>
      <c r="H29" s="124">
        <f>H26-H27</f>
        <v>617.15699999999993</v>
      </c>
      <c r="I29" s="124">
        <f t="shared" ref="I29:M29" si="26">I26+I27+I28</f>
        <v>711.50000000000023</v>
      </c>
      <c r="J29" s="124">
        <f t="shared" si="26"/>
        <v>829.40000000000043</v>
      </c>
      <c r="K29" s="124">
        <f t="shared" si="26"/>
        <v>301.39999999999941</v>
      </c>
      <c r="L29" s="124">
        <f t="shared" si="26"/>
        <v>-214.80000000000004</v>
      </c>
      <c r="M29" s="124">
        <f t="shared" si="26"/>
        <v>52.899999999999984</v>
      </c>
      <c r="N29" s="124">
        <f>N26+N27+N28</f>
        <v>93.649999999999352</v>
      </c>
      <c r="O29" s="124">
        <f>O26+O27+O28</f>
        <v>-406.67099999999959</v>
      </c>
      <c r="P29" s="124">
        <f>P26+P27+P28</f>
        <v>-849.59099999999864</v>
      </c>
      <c r="Q29" s="124">
        <f>Q26+Q27+Q28</f>
        <v>-1464.958000000001</v>
      </c>
      <c r="R29" s="109"/>
      <c r="S29" s="118" t="s">
        <v>161</v>
      </c>
      <c r="T29" s="119"/>
      <c r="U29" s="119"/>
      <c r="V29" s="119"/>
      <c r="W29" s="119"/>
      <c r="X29" s="121"/>
      <c r="Y29" s="146"/>
      <c r="Z29" s="146"/>
      <c r="AA29" s="146"/>
      <c r="AB29" s="146"/>
      <c r="AC29" s="146"/>
      <c r="AD29" s="121"/>
      <c r="AE29" s="121">
        <v>16.100000000000001</v>
      </c>
      <c r="AF29" s="121">
        <v>9.2609999999999992</v>
      </c>
      <c r="AG29" s="121">
        <v>2.3450000000000002</v>
      </c>
      <c r="AH29" s="121">
        <v>11.753</v>
      </c>
      <c r="AI29" s="121">
        <v>111.971</v>
      </c>
    </row>
    <row r="30" spans="1:36">
      <c r="A30" s="13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09"/>
      <c r="S30" s="155" t="s">
        <v>160</v>
      </c>
      <c r="T30" s="146">
        <v>69.450999999999993</v>
      </c>
      <c r="U30" s="146">
        <v>65.423000000000002</v>
      </c>
      <c r="V30" s="146">
        <v>11.265000000000001</v>
      </c>
      <c r="W30" s="146">
        <v>9.254999999999999</v>
      </c>
      <c r="X30" s="121">
        <v>24.66</v>
      </c>
      <c r="Y30" s="146">
        <v>19.449000000000002</v>
      </c>
      <c r="Z30" s="146">
        <v>18.899999999999999</v>
      </c>
      <c r="AA30" s="146">
        <v>13</v>
      </c>
      <c r="AB30" s="146">
        <f>10.5+2.9</f>
        <v>13.4</v>
      </c>
      <c r="AC30" s="146">
        <f>7.2+3.5</f>
        <v>10.7</v>
      </c>
      <c r="AD30" s="121">
        <f>8.5+64.9</f>
        <v>73.400000000000006</v>
      </c>
      <c r="AE30" s="121">
        <v>67</v>
      </c>
      <c r="AF30" s="121">
        <v>12.105</v>
      </c>
      <c r="AG30" s="121">
        <v>3.4000000000000002E-2</v>
      </c>
      <c r="AH30" s="121">
        <v>13.452999999999999</v>
      </c>
      <c r="AI30" s="121">
        <v>2.3E-2</v>
      </c>
      <c r="AJ30" s="100"/>
    </row>
    <row r="31" spans="1:36">
      <c r="A31" s="135" t="s">
        <v>55</v>
      </c>
      <c r="B31" s="138">
        <f t="shared" ref="B31:N31" si="27">B29/B5</f>
        <v>8.6915198626929563E-2</v>
      </c>
      <c r="C31" s="138">
        <f t="shared" si="27"/>
        <v>0.11765491225535163</v>
      </c>
      <c r="D31" s="138">
        <f t="shared" si="27"/>
        <v>0.11483894402041551</v>
      </c>
      <c r="E31" s="138">
        <f t="shared" si="27"/>
        <v>9.9756280897131303E-2</v>
      </c>
      <c r="F31" s="138">
        <f t="shared" si="27"/>
        <v>0.12652566481137903</v>
      </c>
      <c r="G31" s="138">
        <f t="shared" si="27"/>
        <v>0.13891235946428265</v>
      </c>
      <c r="H31" s="138">
        <f t="shared" si="27"/>
        <v>0.14503254764646439</v>
      </c>
      <c r="I31" s="138">
        <f t="shared" si="27"/>
        <v>0.14546235152209028</v>
      </c>
      <c r="J31" s="138">
        <f t="shared" si="27"/>
        <v>0.146064843351003</v>
      </c>
      <c r="K31" s="138">
        <f t="shared" si="27"/>
        <v>5.8736407218302887E-2</v>
      </c>
      <c r="L31" s="138">
        <f t="shared" si="27"/>
        <v>-6.9043103725370467E-2</v>
      </c>
      <c r="M31" s="138">
        <f t="shared" si="27"/>
        <v>1.3869952805453587E-2</v>
      </c>
      <c r="N31" s="138">
        <f t="shared" si="27"/>
        <v>1.682515670841354E-2</v>
      </c>
      <c r="O31" s="138">
        <f>O29/O5</f>
        <v>-5.7504684342946873E-2</v>
      </c>
      <c r="P31" s="138">
        <f>P29/P5</f>
        <v>-0.12400943567664878</v>
      </c>
      <c r="Q31" s="138">
        <f>Q29/Q5</f>
        <v>-0.33025879505512912</v>
      </c>
      <c r="R31" s="109"/>
      <c r="S31" s="155" t="s">
        <v>46</v>
      </c>
      <c r="T31" s="146"/>
      <c r="U31" s="146"/>
      <c r="V31" s="146"/>
      <c r="W31" s="146"/>
      <c r="X31" s="121"/>
      <c r="Y31" s="146"/>
      <c r="Z31" s="146"/>
      <c r="AA31" s="146"/>
      <c r="AB31" s="146"/>
      <c r="AC31" s="146"/>
      <c r="AD31" s="121"/>
      <c r="AE31" s="121">
        <v>5.0999999999999996</v>
      </c>
      <c r="AF31" s="121">
        <v>146.44300000000001</v>
      </c>
      <c r="AG31" s="121">
        <v>115.93300000000001</v>
      </c>
      <c r="AH31" s="121">
        <v>295.63799999999998</v>
      </c>
      <c r="AI31" s="121">
        <v>311.13299999999998</v>
      </c>
    </row>
    <row r="32" spans="1:36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109"/>
      <c r="S32" s="155" t="s">
        <v>166</v>
      </c>
      <c r="T32" s="146">
        <v>299.64999999999998</v>
      </c>
      <c r="U32" s="146">
        <v>228.94</v>
      </c>
      <c r="V32" s="146">
        <v>269.94</v>
      </c>
      <c r="W32" s="146">
        <v>242.65500000000003</v>
      </c>
      <c r="X32" s="121">
        <v>170.23699999999999</v>
      </c>
      <c r="Y32" s="146">
        <v>13.318</v>
      </c>
      <c r="Z32" s="146">
        <v>3.1</v>
      </c>
      <c r="AA32" s="146">
        <v>4.4000000000000004</v>
      </c>
      <c r="AB32" s="146">
        <v>5.9</v>
      </c>
      <c r="AC32" s="146">
        <v>4.3</v>
      </c>
      <c r="AD32" s="121">
        <v>1.8</v>
      </c>
      <c r="AE32" s="121">
        <v>0.7</v>
      </c>
      <c r="AF32" s="121">
        <v>120.236</v>
      </c>
      <c r="AG32" s="121">
        <v>125.646</v>
      </c>
      <c r="AH32" s="121">
        <v>124.498</v>
      </c>
      <c r="AI32" s="121">
        <v>6.117</v>
      </c>
    </row>
    <row r="33" spans="1:44">
      <c r="A33" s="200" t="s">
        <v>16</v>
      </c>
      <c r="B33" s="202"/>
      <c r="C33" s="202"/>
      <c r="D33" s="202">
        <f t="shared" ref="D33:E33" si="28">+D29/C29-1</f>
        <v>0.15157486749632132</v>
      </c>
      <c r="E33" s="202">
        <f t="shared" si="28"/>
        <v>7.0392207750077818E-2</v>
      </c>
      <c r="F33" s="202">
        <f t="shared" ref="F33:N33" si="29">+F29/E29-1</f>
        <v>0.55015665074271491</v>
      </c>
      <c r="G33" s="202">
        <f t="shared" si="29"/>
        <v>0.27326337295691139</v>
      </c>
      <c r="H33" s="202">
        <f t="shared" si="29"/>
        <v>0.18456465367495789</v>
      </c>
      <c r="I33" s="202">
        <f t="shared" si="29"/>
        <v>0.15286709864750825</v>
      </c>
      <c r="J33" s="203">
        <f t="shared" si="29"/>
        <v>0.16570625439212949</v>
      </c>
      <c r="K33" s="203">
        <f t="shared" si="29"/>
        <v>-0.63660477453580988</v>
      </c>
      <c r="L33" s="203">
        <f t="shared" si="29"/>
        <v>-1.7126741871267432</v>
      </c>
      <c r="M33" s="203">
        <f t="shared" si="29"/>
        <v>-1.2462756052141526</v>
      </c>
      <c r="N33" s="203">
        <f t="shared" si="29"/>
        <v>0.7703213610585895</v>
      </c>
      <c r="O33" s="203">
        <f>+O29/N29-1</f>
        <v>-5.3424559530165769</v>
      </c>
      <c r="P33" s="203" t="s">
        <v>150</v>
      </c>
      <c r="Q33" s="203" t="s">
        <v>150</v>
      </c>
      <c r="R33" s="109"/>
      <c r="S33" s="155" t="s">
        <v>56</v>
      </c>
      <c r="T33" s="146">
        <v>0</v>
      </c>
      <c r="U33" s="146">
        <v>12.536</v>
      </c>
      <c r="V33" s="146">
        <v>14.669</v>
      </c>
      <c r="W33" s="146">
        <v>21.663</v>
      </c>
      <c r="X33" s="121">
        <v>0</v>
      </c>
      <c r="Y33" s="146">
        <v>665.21299999999997</v>
      </c>
      <c r="Z33" s="146">
        <v>346.8</v>
      </c>
      <c r="AA33" s="146">
        <v>159.5</v>
      </c>
      <c r="AB33" s="146">
        <v>262.10000000000002</v>
      </c>
      <c r="AC33" s="146">
        <v>310.60000000000002</v>
      </c>
      <c r="AD33" s="121">
        <v>270.89999999999998</v>
      </c>
      <c r="AE33" s="121">
        <v>393.6</v>
      </c>
      <c r="AF33" s="121">
        <v>567.04600000000005</v>
      </c>
      <c r="AG33" s="121">
        <v>643.96100000000001</v>
      </c>
      <c r="AH33" s="121">
        <v>389.52199999999999</v>
      </c>
      <c r="AI33" s="121">
        <v>478.00099999999998</v>
      </c>
    </row>
    <row r="34" spans="1:44">
      <c r="A34" s="200" t="s">
        <v>18</v>
      </c>
      <c r="B34" s="206"/>
      <c r="C34" s="203"/>
      <c r="D34" s="207"/>
      <c r="E34" s="202"/>
      <c r="F34" s="202">
        <f t="shared" ref="F34" si="30">+((F29/C29)^(1/3)-1)</f>
        <v>0.24090033444952796</v>
      </c>
      <c r="G34" s="202">
        <f t="shared" ref="G34:L34" si="31">+((G29/D29)^(1/3)-1)</f>
        <v>0.28315442016674419</v>
      </c>
      <c r="H34" s="202">
        <f t="shared" si="31"/>
        <v>0.3272442969663143</v>
      </c>
      <c r="I34" s="202">
        <f t="shared" si="31"/>
        <v>0.20250092829340649</v>
      </c>
      <c r="J34" s="203">
        <f t="shared" si="31"/>
        <v>0.16764022274314261</v>
      </c>
      <c r="K34" s="203">
        <f t="shared" si="31"/>
        <v>-0.21250247735231853</v>
      </c>
      <c r="L34" s="203">
        <f t="shared" si="31"/>
        <v>-1.6708412984480634</v>
      </c>
      <c r="M34" s="203">
        <f>+((M29/J29)^(1/3)-1)</f>
        <v>-0.60045667422230664</v>
      </c>
      <c r="N34" s="203">
        <f>+((N29/K29)^(1/3)-1)</f>
        <v>-0.32268892357516576</v>
      </c>
      <c r="O34" s="203">
        <f>+((O29/-L29)^(1/3)-1)</f>
        <v>-2.2370947833439949</v>
      </c>
      <c r="P34" s="203" t="s">
        <v>150</v>
      </c>
      <c r="Q34" s="203" t="s">
        <v>150</v>
      </c>
      <c r="R34" s="109"/>
      <c r="S34" s="155" t="s">
        <v>108</v>
      </c>
      <c r="T34" s="146"/>
      <c r="U34" s="146"/>
      <c r="V34" s="146"/>
      <c r="W34" s="146"/>
      <c r="X34" s="121"/>
      <c r="Y34" s="121"/>
      <c r="Z34" s="121"/>
      <c r="AA34" s="121"/>
      <c r="AB34" s="121"/>
      <c r="AC34" s="121">
        <v>112.2</v>
      </c>
      <c r="AD34" s="121">
        <v>245.1</v>
      </c>
      <c r="AE34" s="121">
        <v>418.8</v>
      </c>
      <c r="AF34" s="121">
        <v>472.16500000000002</v>
      </c>
      <c r="AG34" s="121">
        <v>426.79399999999998</v>
      </c>
      <c r="AH34" s="121">
        <v>147.017</v>
      </c>
      <c r="AI34" s="121">
        <v>135.928</v>
      </c>
    </row>
    <row r="35" spans="1:44">
      <c r="A35" s="145" t="s">
        <v>57</v>
      </c>
      <c r="B35" s="206"/>
      <c r="C35" s="213">
        <v>0</v>
      </c>
      <c r="D35" s="213">
        <v>0</v>
      </c>
      <c r="E35" s="213">
        <v>0</v>
      </c>
      <c r="F35" s="148">
        <v>0</v>
      </c>
      <c r="G35" s="148">
        <v>0</v>
      </c>
      <c r="H35" s="148">
        <v>0</v>
      </c>
      <c r="I35" s="148">
        <v>3.7</v>
      </c>
      <c r="J35" s="148">
        <v>3.8</v>
      </c>
      <c r="K35" s="148">
        <v>7.3</v>
      </c>
      <c r="L35" s="148">
        <v>9.4</v>
      </c>
      <c r="M35" s="148">
        <v>-2.8</v>
      </c>
      <c r="N35" s="103">
        <v>-8.89</v>
      </c>
      <c r="O35" s="103">
        <v>-10.755000000000001</v>
      </c>
      <c r="P35" s="103">
        <v>-2.2810000000000001</v>
      </c>
      <c r="Q35" s="103">
        <v>1.9850000000000001</v>
      </c>
      <c r="R35" s="109"/>
      <c r="S35" s="156" t="s">
        <v>59</v>
      </c>
      <c r="T35" s="123" t="e">
        <f>T36+#REF!+T37+T38</f>
        <v>#REF!</v>
      </c>
      <c r="U35" s="123" t="e">
        <f>U36+#REF!+U37+U38</f>
        <v>#REF!</v>
      </c>
      <c r="V35" s="123" t="e">
        <f>V36+#REF!+V37+V38</f>
        <v>#REF!</v>
      </c>
      <c r="W35" s="124" t="e">
        <f>W36+#REF!+W37+W38</f>
        <v>#REF!</v>
      </c>
      <c r="X35" s="124" t="e">
        <f>X36+#REF!+X37+X38</f>
        <v>#REF!</v>
      </c>
      <c r="Y35" s="124" t="e">
        <f>Y36+#REF!+Y37+Y38</f>
        <v>#REF!</v>
      </c>
      <c r="Z35" s="124" t="e">
        <f>Z36+#REF!+Z37+Z38</f>
        <v>#REF!</v>
      </c>
      <c r="AA35" s="124" t="e">
        <f>AA36+#REF!+AA37+AA38+AA41</f>
        <v>#REF!</v>
      </c>
      <c r="AB35" s="124">
        <f t="shared" ref="AB35:AI35" si="32">SUM(AB36:AB41)</f>
        <v>588.20000000000005</v>
      </c>
      <c r="AC35" s="124">
        <f t="shared" si="32"/>
        <v>646.09999999999991</v>
      </c>
      <c r="AD35" s="124">
        <f t="shared" si="32"/>
        <v>391.20000000000005</v>
      </c>
      <c r="AE35" s="124">
        <f t="shared" si="32"/>
        <v>627</v>
      </c>
      <c r="AF35" s="124">
        <f t="shared" si="32"/>
        <v>1338.7109999999998</v>
      </c>
      <c r="AG35" s="124">
        <f t="shared" si="32"/>
        <v>1348.3</v>
      </c>
      <c r="AH35" s="124">
        <f t="shared" si="32"/>
        <v>906.79700000000003</v>
      </c>
      <c r="AI35" s="124">
        <f t="shared" si="32"/>
        <v>1016.4250000000001</v>
      </c>
    </row>
    <row r="36" spans="1:44">
      <c r="A36" s="156" t="s">
        <v>58</v>
      </c>
      <c r="B36" s="157">
        <f t="shared" ref="B36:F36" si="33">B29+B35</f>
        <v>137.53799999999978</v>
      </c>
      <c r="C36" s="157">
        <f t="shared" si="33"/>
        <v>214.14500000000032</v>
      </c>
      <c r="D36" s="157">
        <f t="shared" si="33"/>
        <v>246.6040000000001</v>
      </c>
      <c r="E36" s="157">
        <f t="shared" si="33"/>
        <v>263.96300000000031</v>
      </c>
      <c r="F36" s="157">
        <f t="shared" si="33"/>
        <v>409.18399999999974</v>
      </c>
      <c r="G36" s="157">
        <f t="shared" ref="G36:N36" si="34">G29+G35</f>
        <v>520.99900000000048</v>
      </c>
      <c r="H36" s="157">
        <f t="shared" si="34"/>
        <v>617.15699999999993</v>
      </c>
      <c r="I36" s="157">
        <f t="shared" si="34"/>
        <v>715.20000000000027</v>
      </c>
      <c r="J36" s="157">
        <f t="shared" si="34"/>
        <v>833.20000000000039</v>
      </c>
      <c r="K36" s="157">
        <f t="shared" si="34"/>
        <v>308.69999999999942</v>
      </c>
      <c r="L36" s="157">
        <f t="shared" si="34"/>
        <v>-205.40000000000003</v>
      </c>
      <c r="M36" s="157">
        <f t="shared" si="34"/>
        <v>50.099999999999987</v>
      </c>
      <c r="N36" s="157">
        <f t="shared" si="34"/>
        <v>84.759999999999351</v>
      </c>
      <c r="O36" s="157">
        <f>O29+O35</f>
        <v>-417.42599999999959</v>
      </c>
      <c r="P36" s="157">
        <f>P29+P35</f>
        <v>-851.87199999999859</v>
      </c>
      <c r="Q36" s="157">
        <f>Q29+Q35</f>
        <v>-1462.9730000000011</v>
      </c>
      <c r="R36" s="109"/>
      <c r="S36" s="145" t="s">
        <v>61</v>
      </c>
      <c r="T36" s="158">
        <v>220.48499999999999</v>
      </c>
      <c r="U36" s="158">
        <v>241.57399999999998</v>
      </c>
      <c r="V36" s="158">
        <v>178.56400000000002</v>
      </c>
      <c r="W36" s="158">
        <v>380.077</v>
      </c>
      <c r="X36" s="158">
        <v>338.88499999999999</v>
      </c>
      <c r="Y36" s="158">
        <v>394.92099999999999</v>
      </c>
      <c r="Z36" s="158">
        <v>69.599999999999994</v>
      </c>
      <c r="AA36" s="158">
        <v>28.1</v>
      </c>
      <c r="AB36" s="158">
        <v>79.599999999999994</v>
      </c>
      <c r="AC36" s="158">
        <v>28.3</v>
      </c>
      <c r="AD36" s="121">
        <v>32.299999999999997</v>
      </c>
      <c r="AE36" s="121">
        <v>47.6</v>
      </c>
      <c r="AF36" s="121">
        <v>287.92599999999999</v>
      </c>
      <c r="AG36" s="121">
        <v>171.98599999999999</v>
      </c>
      <c r="AH36" s="121">
        <v>168.76400000000001</v>
      </c>
      <c r="AI36" s="121">
        <v>139.83000000000001</v>
      </c>
    </row>
    <row r="37" spans="1:44">
      <c r="A37" s="159" t="s">
        <v>60</v>
      </c>
      <c r="B37" s="160">
        <v>7.07</v>
      </c>
      <c r="C37" s="161">
        <v>10.86</v>
      </c>
      <c r="D37" s="161">
        <v>11.87</v>
      </c>
      <c r="E37" s="161">
        <v>13.68</v>
      </c>
      <c r="F37" s="161">
        <v>17.350000000000001</v>
      </c>
      <c r="G37" s="161">
        <v>19.18</v>
      </c>
      <c r="H37" s="161">
        <v>22.6</v>
      </c>
      <c r="I37" s="161">
        <v>26.18</v>
      </c>
      <c r="J37" s="161">
        <v>30.52</v>
      </c>
      <c r="K37" s="161">
        <v>11.09</v>
      </c>
      <c r="L37" s="161">
        <v>-7.9</v>
      </c>
      <c r="M37" s="161">
        <v>1.94</v>
      </c>
      <c r="N37" s="161">
        <v>3.45</v>
      </c>
      <c r="O37" s="161">
        <v>-14.94</v>
      </c>
      <c r="P37" s="161">
        <v>-31.09</v>
      </c>
      <c r="Q37" s="161">
        <v>-53.6</v>
      </c>
      <c r="R37" s="109"/>
      <c r="S37" s="145" t="s">
        <v>63</v>
      </c>
      <c r="T37" s="158">
        <v>124.873</v>
      </c>
      <c r="U37" s="158">
        <v>228.416</v>
      </c>
      <c r="V37" s="158">
        <v>89.866</v>
      </c>
      <c r="W37" s="158">
        <v>306.44600000000003</v>
      </c>
      <c r="X37" s="158">
        <v>164.833</v>
      </c>
      <c r="Y37" s="158">
        <v>105.203</v>
      </c>
      <c r="Z37" s="158">
        <v>190.4</v>
      </c>
      <c r="AA37" s="158">
        <v>181.1</v>
      </c>
      <c r="AB37" s="158">
        <v>297.89999999999998</v>
      </c>
      <c r="AC37" s="158">
        <f>7.9+483</f>
        <v>490.9</v>
      </c>
      <c r="AD37" s="128">
        <f>21+231.3</f>
        <v>252.3</v>
      </c>
      <c r="AE37" s="128">
        <v>493.2</v>
      </c>
      <c r="AF37" s="121">
        <v>939.43200000000002</v>
      </c>
      <c r="AG37" s="121">
        <v>1067.874</v>
      </c>
      <c r="AH37" s="121">
        <f>153.69+531.086</f>
        <v>684.77600000000007</v>
      </c>
      <c r="AI37" s="121">
        <f>46.191+777.416</f>
        <v>823.60700000000008</v>
      </c>
    </row>
    <row r="38" spans="1:44">
      <c r="A38" s="200" t="s">
        <v>16</v>
      </c>
      <c r="B38" s="201"/>
      <c r="C38" s="202"/>
      <c r="D38" s="202"/>
      <c r="E38" s="202">
        <f t="shared" ref="E38:F38" si="35">+E37/D37-1</f>
        <v>0.15248525695029502</v>
      </c>
      <c r="F38" s="202">
        <f t="shared" si="35"/>
        <v>0.26827485380116967</v>
      </c>
      <c r="G38" s="202">
        <f t="shared" ref="G38:N38" si="36">+G37/F37-1</f>
        <v>0.10547550432276642</v>
      </c>
      <c r="H38" s="202">
        <f t="shared" si="36"/>
        <v>0.17831074035453609</v>
      </c>
      <c r="I38" s="202">
        <f t="shared" si="36"/>
        <v>0.15840707964601752</v>
      </c>
      <c r="J38" s="203">
        <f t="shared" si="36"/>
        <v>0.16577540106951871</v>
      </c>
      <c r="K38" s="203">
        <f t="shared" si="36"/>
        <v>-0.6366317169069462</v>
      </c>
      <c r="L38" s="203">
        <f t="shared" si="36"/>
        <v>-1.7123534715960325</v>
      </c>
      <c r="M38" s="203">
        <f t="shared" si="36"/>
        <v>-1.2455696202531645</v>
      </c>
      <c r="N38" s="203">
        <f t="shared" si="36"/>
        <v>0.77835051546391765</v>
      </c>
      <c r="O38" s="203">
        <f>+O37/N37-1</f>
        <v>-5.3304347826086955</v>
      </c>
      <c r="P38" s="203" t="s">
        <v>150</v>
      </c>
      <c r="Q38" s="203" t="s">
        <v>150</v>
      </c>
      <c r="R38" s="109"/>
      <c r="S38" s="145" t="s">
        <v>64</v>
      </c>
      <c r="T38" s="158"/>
      <c r="U38" s="158"/>
      <c r="V38" s="158"/>
      <c r="W38" s="158"/>
      <c r="X38" s="158"/>
      <c r="Y38" s="158"/>
      <c r="Z38" s="158">
        <v>319.7</v>
      </c>
      <c r="AA38" s="158">
        <v>135.6</v>
      </c>
      <c r="AB38" s="158">
        <v>51.1</v>
      </c>
      <c r="AC38" s="158">
        <v>103.3</v>
      </c>
      <c r="AD38" s="128">
        <v>75.599999999999994</v>
      </c>
      <c r="AE38" s="128">
        <v>72.599999999999994</v>
      </c>
      <c r="AF38" s="121">
        <v>93.762</v>
      </c>
      <c r="AG38" s="121">
        <v>82.406999999999996</v>
      </c>
      <c r="AH38" s="121">
        <v>27.454000000000001</v>
      </c>
      <c r="AI38" s="121">
        <v>31.597000000000001</v>
      </c>
    </row>
    <row r="39" spans="1:44">
      <c r="A39" s="200" t="s">
        <v>18</v>
      </c>
      <c r="B39" s="206"/>
      <c r="C39" s="203"/>
      <c r="D39" s="207"/>
      <c r="E39" s="202"/>
      <c r="F39" s="202"/>
      <c r="G39" s="202">
        <f t="shared" ref="G39:N39" si="37">+((G37/D37)^(1/3)-1)</f>
        <v>0.17345370708403163</v>
      </c>
      <c r="H39" s="202">
        <f t="shared" si="37"/>
        <v>0.18215415748185726</v>
      </c>
      <c r="I39" s="202">
        <f t="shared" si="37"/>
        <v>0.14698231326147315</v>
      </c>
      <c r="J39" s="203">
        <f t="shared" si="37"/>
        <v>0.16746886913582593</v>
      </c>
      <c r="K39" s="203">
        <f t="shared" si="37"/>
        <v>-0.21124697895967437</v>
      </c>
      <c r="L39" s="203">
        <f t="shared" si="37"/>
        <v>-1.6707373381527464</v>
      </c>
      <c r="M39" s="203">
        <f t="shared" si="37"/>
        <v>-0.60090857158600697</v>
      </c>
      <c r="N39" s="203">
        <f t="shared" si="37"/>
        <v>-0.32241697669080871</v>
      </c>
      <c r="O39" s="203">
        <f>+((O37/-L37)^(1/3)-1)</f>
        <v>-2.236633959894998</v>
      </c>
      <c r="P39" s="203" t="s">
        <v>150</v>
      </c>
      <c r="Q39" s="203" t="s">
        <v>150</v>
      </c>
      <c r="R39" s="109"/>
      <c r="S39" s="145" t="s">
        <v>109</v>
      </c>
      <c r="T39" s="158"/>
      <c r="U39" s="158"/>
      <c r="V39" s="158"/>
      <c r="W39" s="158"/>
      <c r="X39" s="158"/>
      <c r="Y39" s="158"/>
      <c r="Z39" s="158"/>
      <c r="AA39" s="158"/>
      <c r="AB39" s="158"/>
      <c r="AC39" s="158">
        <v>9.6</v>
      </c>
      <c r="AD39" s="128">
        <v>9</v>
      </c>
      <c r="AE39" s="128">
        <v>0.6</v>
      </c>
      <c r="AF39" s="121">
        <v>1.452</v>
      </c>
      <c r="AG39" s="121">
        <v>5.5010000000000003</v>
      </c>
      <c r="AH39" s="121">
        <f>6.565</f>
        <v>6.5650000000000004</v>
      </c>
      <c r="AI39" s="121">
        <f>7.41</f>
        <v>7.41</v>
      </c>
    </row>
    <row r="40" spans="1:44">
      <c r="A40" s="162"/>
      <c r="B40" s="163"/>
      <c r="C40" s="164"/>
      <c r="D40" s="164"/>
      <c r="E40" s="164"/>
      <c r="F40" s="164"/>
      <c r="G40" s="164"/>
      <c r="H40" s="164"/>
      <c r="I40" s="164"/>
      <c r="J40" s="109"/>
      <c r="K40" s="109"/>
      <c r="L40" s="109"/>
      <c r="M40" s="109"/>
      <c r="N40" s="109"/>
      <c r="O40" s="109"/>
      <c r="P40" s="109"/>
      <c r="Q40" s="109"/>
      <c r="R40" s="109"/>
      <c r="S40" s="145" t="s">
        <v>62</v>
      </c>
      <c r="T40" s="158"/>
      <c r="U40" s="158"/>
      <c r="V40" s="158"/>
      <c r="W40" s="158"/>
      <c r="X40" s="158"/>
      <c r="Y40" s="158"/>
      <c r="Z40" s="158"/>
      <c r="AA40" s="158"/>
      <c r="AB40" s="158">
        <v>8.1</v>
      </c>
      <c r="AC40" s="158">
        <v>14</v>
      </c>
      <c r="AD40" s="128">
        <v>22</v>
      </c>
      <c r="AE40" s="128">
        <v>13</v>
      </c>
      <c r="AF40" s="121">
        <v>16.138999999999999</v>
      </c>
      <c r="AG40" s="121">
        <v>20.532</v>
      </c>
      <c r="AH40" s="121">
        <v>19.238</v>
      </c>
      <c r="AI40" s="121">
        <v>13.981</v>
      </c>
    </row>
    <row r="41" spans="1:44">
      <c r="A41" s="162"/>
      <c r="B41" s="163"/>
      <c r="C41" s="164"/>
      <c r="D41" s="164"/>
      <c r="E41" s="164"/>
      <c r="F41" s="164"/>
      <c r="G41" s="164"/>
      <c r="H41" s="164"/>
      <c r="I41" s="164"/>
      <c r="J41" s="109"/>
      <c r="K41" s="109"/>
      <c r="L41" s="109"/>
      <c r="M41" s="109"/>
      <c r="N41" s="109"/>
      <c r="O41" s="109"/>
      <c r="P41" s="109"/>
      <c r="Q41" s="109"/>
      <c r="R41" s="109"/>
      <c r="S41" s="145" t="s">
        <v>65</v>
      </c>
      <c r="T41" s="158"/>
      <c r="U41" s="158"/>
      <c r="V41" s="158"/>
      <c r="W41" s="158"/>
      <c r="X41" s="158"/>
      <c r="Y41" s="158"/>
      <c r="Z41" s="158"/>
      <c r="AA41" s="158">
        <v>124.7</v>
      </c>
      <c r="AB41" s="158">
        <v>151.5</v>
      </c>
      <c r="AC41" s="158">
        <v>0</v>
      </c>
      <c r="AD41" s="121">
        <v>0</v>
      </c>
      <c r="AE41" s="121"/>
      <c r="AF41" s="121"/>
      <c r="AG41" s="121"/>
      <c r="AH41" s="121"/>
      <c r="AI41" s="121"/>
    </row>
    <row r="42" spans="1:44">
      <c r="A42" s="162"/>
      <c r="B42" s="163"/>
      <c r="C42" s="164"/>
      <c r="D42" s="164"/>
      <c r="E42" s="164"/>
      <c r="F42" s="164"/>
      <c r="G42" s="164"/>
      <c r="H42" s="164"/>
      <c r="I42" s="164"/>
      <c r="J42" s="109"/>
      <c r="K42" s="109"/>
      <c r="L42" s="109"/>
      <c r="M42" s="109"/>
      <c r="N42" s="109"/>
      <c r="O42" s="109"/>
      <c r="P42" s="109"/>
      <c r="Q42" s="109"/>
      <c r="R42" s="109"/>
      <c r="S42" s="156" t="s">
        <v>67</v>
      </c>
      <c r="T42" s="123" t="e">
        <f t="shared" ref="T42:AB42" si="38">T26-T35</f>
        <v>#REF!</v>
      </c>
      <c r="U42" s="123" t="e">
        <f t="shared" si="38"/>
        <v>#REF!</v>
      </c>
      <c r="V42" s="123" t="e">
        <f t="shared" si="38"/>
        <v>#REF!</v>
      </c>
      <c r="W42" s="124" t="e">
        <f t="shared" si="38"/>
        <v>#REF!</v>
      </c>
      <c r="X42" s="124" t="e">
        <f t="shared" si="38"/>
        <v>#REF!</v>
      </c>
      <c r="Y42" s="124" t="e">
        <f t="shared" si="38"/>
        <v>#REF!</v>
      </c>
      <c r="Z42" s="124" t="e">
        <f t="shared" si="38"/>
        <v>#REF!</v>
      </c>
      <c r="AA42" s="124" t="e">
        <f t="shared" si="38"/>
        <v>#REF!</v>
      </c>
      <c r="AB42" s="124">
        <f t="shared" si="38"/>
        <v>7310.7999999999993</v>
      </c>
      <c r="AC42" s="124">
        <f t="shared" ref="AC42:AI42" si="39">+AC26-AC35</f>
        <v>7975.7999999999993</v>
      </c>
      <c r="AD42" s="124">
        <f t="shared" si="39"/>
        <v>8050.5000000000009</v>
      </c>
      <c r="AE42" s="124">
        <f t="shared" si="39"/>
        <v>7990.2000000000007</v>
      </c>
      <c r="AF42" s="124">
        <f t="shared" si="39"/>
        <v>8601.8900000000031</v>
      </c>
      <c r="AG42" s="124">
        <f t="shared" si="39"/>
        <v>8242.0730000000003</v>
      </c>
      <c r="AH42" s="124">
        <f t="shared" si="39"/>
        <v>6818.2919999999995</v>
      </c>
      <c r="AI42" s="124">
        <f t="shared" si="39"/>
        <v>5553.2899999999991</v>
      </c>
    </row>
    <row r="43" spans="1:44">
      <c r="A43" s="162"/>
      <c r="B43" s="163"/>
      <c r="C43" s="164"/>
      <c r="D43" s="164"/>
      <c r="E43" s="164"/>
      <c r="F43" s="164"/>
      <c r="G43" s="164"/>
      <c r="H43" s="164"/>
      <c r="I43" s="164"/>
      <c r="J43" s="109"/>
      <c r="K43" s="109"/>
      <c r="L43" s="109"/>
      <c r="M43" s="109"/>
      <c r="N43" s="109"/>
      <c r="O43" s="109"/>
      <c r="P43" s="109"/>
      <c r="Q43" s="109"/>
      <c r="R43" s="109"/>
      <c r="S43" s="145" t="s">
        <v>70</v>
      </c>
      <c r="T43" s="146">
        <v>44.945999999999998</v>
      </c>
      <c r="U43" s="146">
        <v>48.634</v>
      </c>
      <c r="V43" s="146">
        <v>50.755000000000003</v>
      </c>
      <c r="W43" s="146">
        <v>84.789999999999992</v>
      </c>
      <c r="X43" s="146">
        <v>68.260999999999996</v>
      </c>
      <c r="Y43" s="146">
        <v>66.906000000000006</v>
      </c>
      <c r="Z43" s="146">
        <v>65.400000000000006</v>
      </c>
      <c r="AA43" s="146">
        <v>35.799999999999997</v>
      </c>
      <c r="AB43" s="146">
        <v>34.1</v>
      </c>
      <c r="AC43" s="146">
        <v>20.7</v>
      </c>
      <c r="AD43" s="121">
        <v>18.3</v>
      </c>
      <c r="AE43" s="121">
        <v>3.7</v>
      </c>
      <c r="AF43" s="121">
        <v>0</v>
      </c>
      <c r="AG43" s="121">
        <v>0</v>
      </c>
      <c r="AH43" s="121">
        <v>0</v>
      </c>
      <c r="AI43" s="121">
        <v>0</v>
      </c>
    </row>
    <row r="44" spans="1:44">
      <c r="A44" s="162"/>
      <c r="B44" s="163"/>
      <c r="C44" s="164"/>
      <c r="D44" s="164"/>
      <c r="E44" s="164"/>
      <c r="F44" s="164"/>
      <c r="G44" s="164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34" t="s">
        <v>163</v>
      </c>
      <c r="T44" s="134"/>
      <c r="U44" s="134"/>
      <c r="V44" s="134"/>
      <c r="W44" s="134"/>
      <c r="X44" s="134"/>
      <c r="Y44" s="134"/>
      <c r="Z44" s="134"/>
      <c r="AA44" s="134"/>
      <c r="AB44" s="121">
        <v>0</v>
      </c>
      <c r="AC44" s="121">
        <v>0</v>
      </c>
      <c r="AD44" s="121">
        <v>0</v>
      </c>
      <c r="AE44" s="121">
        <v>0</v>
      </c>
      <c r="AF44" s="121">
        <v>22.513000000000002</v>
      </c>
      <c r="AG44" s="121">
        <v>4.6740000000000004</v>
      </c>
      <c r="AH44" s="121">
        <v>0</v>
      </c>
      <c r="AI44" s="121">
        <v>0</v>
      </c>
    </row>
    <row r="45" spans="1:44" ht="15" customHeight="1">
      <c r="A45" s="232" t="s">
        <v>66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109"/>
      <c r="S45" s="145" t="s">
        <v>72</v>
      </c>
      <c r="T45" s="146"/>
      <c r="U45" s="146"/>
      <c r="V45" s="146"/>
      <c r="W45" s="146"/>
      <c r="X45" s="146">
        <v>5.4</v>
      </c>
      <c r="Y45" s="146">
        <v>6.7149999999999999</v>
      </c>
      <c r="Z45" s="146">
        <v>9.6</v>
      </c>
      <c r="AA45" s="146">
        <v>16.2</v>
      </c>
      <c r="AB45" s="146">
        <v>31.7</v>
      </c>
      <c r="AC45" s="146">
        <v>16.2</v>
      </c>
      <c r="AD45" s="128">
        <v>10.8</v>
      </c>
      <c r="AE45" s="128">
        <v>7.8</v>
      </c>
      <c r="AF45" s="121">
        <v>20.373999999999999</v>
      </c>
      <c r="AG45" s="121">
        <v>36.113</v>
      </c>
      <c r="AH45" s="121">
        <v>35.956000000000003</v>
      </c>
      <c r="AI45" s="121">
        <v>58.756</v>
      </c>
    </row>
    <row r="46" spans="1:44">
      <c r="A46" s="104" t="s">
        <v>3</v>
      </c>
      <c r="B46" s="106" t="s">
        <v>4</v>
      </c>
      <c r="C46" s="106" t="str">
        <f>+C3</f>
        <v>FY12</v>
      </c>
      <c r="D46" s="165" t="str">
        <f>+D3</f>
        <v>FY13</v>
      </c>
      <c r="E46" s="107" t="str">
        <f>+E3</f>
        <v>FY14</v>
      </c>
      <c r="F46" s="107" t="s">
        <v>8</v>
      </c>
      <c r="G46" s="107" t="s">
        <v>68</v>
      </c>
      <c r="H46" s="107" t="s">
        <v>69</v>
      </c>
      <c r="I46" s="107" t="s">
        <v>11</v>
      </c>
      <c r="J46" s="107" t="s">
        <v>12</v>
      </c>
      <c r="K46" s="107" t="s">
        <v>107</v>
      </c>
      <c r="L46" s="107" t="s">
        <v>155</v>
      </c>
      <c r="M46" s="107" t="s">
        <v>156</v>
      </c>
      <c r="N46" s="107" t="s">
        <v>162</v>
      </c>
      <c r="O46" s="107" t="s">
        <v>164</v>
      </c>
      <c r="P46" s="107" t="s">
        <v>167</v>
      </c>
      <c r="Q46" s="108" t="s">
        <v>169</v>
      </c>
      <c r="R46" s="109"/>
      <c r="S46" s="145" t="s">
        <v>74</v>
      </c>
      <c r="T46" s="146"/>
      <c r="U46" s="146"/>
      <c r="V46" s="146"/>
      <c r="W46" s="146"/>
      <c r="X46" s="146"/>
      <c r="Y46" s="146"/>
      <c r="Z46" s="146"/>
      <c r="AA46" s="146"/>
      <c r="AB46" s="146"/>
      <c r="AC46" s="146">
        <v>14</v>
      </c>
      <c r="AD46" s="128">
        <v>1.4</v>
      </c>
      <c r="AE46" s="128">
        <v>0.8</v>
      </c>
      <c r="AF46" s="128">
        <v>1.0509999999999999</v>
      </c>
      <c r="AG46" s="128">
        <v>18.491</v>
      </c>
      <c r="AH46" s="128">
        <v>16.513000000000002</v>
      </c>
      <c r="AI46" s="128">
        <v>13.663</v>
      </c>
    </row>
    <row r="47" spans="1:44">
      <c r="A47" s="166" t="s">
        <v>71</v>
      </c>
      <c r="B47" s="167">
        <v>185.78</v>
      </c>
      <c r="C47" s="167">
        <f t="shared" ref="C47:F47" si="40">+B52</f>
        <v>69.45</v>
      </c>
      <c r="D47" s="167">
        <f t="shared" si="40"/>
        <v>65.421999999999997</v>
      </c>
      <c r="E47" s="167">
        <f t="shared" si="40"/>
        <v>11.281999999999996</v>
      </c>
      <c r="F47" s="167">
        <f t="shared" si="40"/>
        <v>9.2720000000000056</v>
      </c>
      <c r="G47" s="167">
        <f>+F52</f>
        <v>24.676000000000059</v>
      </c>
      <c r="H47" s="167">
        <f>+G52</f>
        <v>19.465000000000046</v>
      </c>
      <c r="I47" s="167">
        <f>+H52</f>
        <v>18.890000000000114</v>
      </c>
      <c r="J47" s="220">
        <f>+I52</f>
        <v>13.053999999999874</v>
      </c>
      <c r="K47" s="220">
        <f>+J52</f>
        <v>10.512999999999877</v>
      </c>
      <c r="L47" s="226">
        <f>7.2</f>
        <v>7.2</v>
      </c>
      <c r="M47" s="226">
        <f>+L52</f>
        <v>8.4999999999999964</v>
      </c>
      <c r="N47" s="226">
        <f>M52</f>
        <v>16.128999999999959</v>
      </c>
      <c r="O47" s="226">
        <f>N52</f>
        <v>9.3029999999999369</v>
      </c>
      <c r="P47" s="226">
        <f>O52</f>
        <v>2.3859999999999637</v>
      </c>
      <c r="Q47" s="226">
        <f>P52</f>
        <v>11.793999999999979</v>
      </c>
      <c r="R47" s="109"/>
      <c r="S47" s="145" t="s">
        <v>170</v>
      </c>
      <c r="T47" s="146"/>
      <c r="U47" s="146"/>
      <c r="V47" s="146"/>
      <c r="W47" s="146"/>
      <c r="X47" s="146"/>
      <c r="Y47" s="146"/>
      <c r="Z47" s="146"/>
      <c r="AA47" s="146"/>
      <c r="AB47" s="146">
        <v>0</v>
      </c>
      <c r="AC47" s="146">
        <v>0</v>
      </c>
      <c r="AD47" s="128">
        <v>0</v>
      </c>
      <c r="AE47" s="128">
        <v>0</v>
      </c>
      <c r="AF47" s="128">
        <v>0</v>
      </c>
      <c r="AG47" s="128">
        <v>0</v>
      </c>
      <c r="AH47" s="128">
        <v>14.113</v>
      </c>
      <c r="AI47" s="128">
        <v>33.972000000000001</v>
      </c>
    </row>
    <row r="48" spans="1:44">
      <c r="A48" s="168" t="s">
        <v>73</v>
      </c>
      <c r="B48" s="169">
        <v>206.57</v>
      </c>
      <c r="C48" s="170">
        <v>145.50899999999999</v>
      </c>
      <c r="D48" s="171">
        <v>-10.71</v>
      </c>
      <c r="E48" s="171">
        <v>-193.67</v>
      </c>
      <c r="F48" s="171">
        <v>-302.62599999999998</v>
      </c>
      <c r="G48" s="171">
        <v>-494.50099999999998</v>
      </c>
      <c r="H48" s="171">
        <v>-581.09400000000005</v>
      </c>
      <c r="I48" s="171">
        <v>1325.107</v>
      </c>
      <c r="J48" s="103">
        <v>319.56299999999999</v>
      </c>
      <c r="K48" s="103">
        <f>-75.46</f>
        <v>-75.459999999999994</v>
      </c>
      <c r="L48" s="227">
        <v>101.5</v>
      </c>
      <c r="M48" s="227">
        <v>441.34399999999999</v>
      </c>
      <c r="N48" s="227">
        <v>-172.31700000000001</v>
      </c>
      <c r="O48" s="227">
        <v>255.88</v>
      </c>
      <c r="P48" s="227">
        <v>751.52300000000002</v>
      </c>
      <c r="Q48" s="227">
        <v>321.762</v>
      </c>
      <c r="R48" s="109"/>
      <c r="S48" s="156" t="s">
        <v>76</v>
      </c>
      <c r="T48" s="123" t="e">
        <f t="shared" ref="T48:V49" si="41">T34-T42</f>
        <v>#REF!</v>
      </c>
      <c r="U48" s="123" t="e">
        <f t="shared" si="41"/>
        <v>#REF!</v>
      </c>
      <c r="V48" s="123" t="e">
        <f t="shared" si="41"/>
        <v>#REF!</v>
      </c>
      <c r="W48" s="124">
        <f t="shared" ref="W48:AI48" si="42">SUM(W19:W25)+W26</f>
        <v>4123.0889999999999</v>
      </c>
      <c r="X48" s="124">
        <f t="shared" si="42"/>
        <v>4884.3890000000001</v>
      </c>
      <c r="Y48" s="124">
        <f t="shared" si="42"/>
        <v>6098.6880000000001</v>
      </c>
      <c r="Z48" s="124">
        <f t="shared" si="42"/>
        <v>7769.9999999999991</v>
      </c>
      <c r="AA48" s="124">
        <f t="shared" si="42"/>
        <v>7313.4</v>
      </c>
      <c r="AB48" s="124">
        <f t="shared" si="42"/>
        <v>8302.2999999999993</v>
      </c>
      <c r="AC48" s="124">
        <f t="shared" si="42"/>
        <v>9015.2999999999993</v>
      </c>
      <c r="AD48" s="124">
        <f t="shared" si="42"/>
        <v>8765.2000000000007</v>
      </c>
      <c r="AE48" s="124">
        <f t="shared" si="42"/>
        <v>8887.6</v>
      </c>
      <c r="AF48" s="124">
        <f t="shared" si="42"/>
        <v>10384.698000000002</v>
      </c>
      <c r="AG48" s="124">
        <f t="shared" si="42"/>
        <v>10220.371999999999</v>
      </c>
      <c r="AH48" s="124">
        <f t="shared" si="42"/>
        <v>8660.8979999999992</v>
      </c>
      <c r="AI48" s="124">
        <f t="shared" si="42"/>
        <v>7856.360999999999</v>
      </c>
      <c r="AK48" s="221"/>
      <c r="AL48" s="221"/>
      <c r="AM48" s="221"/>
      <c r="AN48" s="221"/>
      <c r="AO48" s="221"/>
      <c r="AP48" s="221"/>
      <c r="AQ48" s="221"/>
      <c r="AR48" s="221"/>
    </row>
    <row r="49" spans="1:41">
      <c r="A49" s="168" t="s">
        <v>75</v>
      </c>
      <c r="B49" s="169">
        <v>-78.28</v>
      </c>
      <c r="C49" s="170">
        <v>-60.692999999999998</v>
      </c>
      <c r="D49" s="171">
        <v>-10.07</v>
      </c>
      <c r="E49" s="171">
        <v>-12.5</v>
      </c>
      <c r="F49" s="171">
        <v>-92.66</v>
      </c>
      <c r="G49" s="171">
        <v>-43.712000000000003</v>
      </c>
      <c r="H49" s="171">
        <v>-40.712000000000003</v>
      </c>
      <c r="I49" s="171">
        <v>-143.31299999999999</v>
      </c>
      <c r="J49" s="228">
        <v>-27.632000000000001</v>
      </c>
      <c r="K49" s="228">
        <f>-61.427</f>
        <v>-61.427</v>
      </c>
      <c r="L49" s="228">
        <v>-7</v>
      </c>
      <c r="M49" s="228">
        <v>-23.946000000000002</v>
      </c>
      <c r="N49" s="228">
        <v>-190.012</v>
      </c>
      <c r="O49" s="228">
        <v>-74.656999999999996</v>
      </c>
      <c r="P49" s="228">
        <v>-14.787000000000001</v>
      </c>
      <c r="Q49" s="228">
        <v>-23.32</v>
      </c>
      <c r="R49" s="109"/>
      <c r="S49" s="156" t="s">
        <v>78</v>
      </c>
      <c r="T49" s="123" t="e">
        <f t="shared" si="41"/>
        <v>#REF!</v>
      </c>
      <c r="U49" s="123" t="e">
        <f t="shared" si="41"/>
        <v>#REF!</v>
      </c>
      <c r="V49" s="123" t="e">
        <f t="shared" si="41"/>
        <v>#REF!</v>
      </c>
      <c r="W49" s="124" t="e">
        <f t="shared" ref="W49:AB49" si="43">W6+W7+W10+W35+SUM(W43:W45)</f>
        <v>#REF!</v>
      </c>
      <c r="X49" s="124" t="e">
        <f t="shared" si="43"/>
        <v>#REF!</v>
      </c>
      <c r="Y49" s="124" t="e">
        <f t="shared" si="43"/>
        <v>#REF!</v>
      </c>
      <c r="Z49" s="124" t="e">
        <f t="shared" si="43"/>
        <v>#REF!</v>
      </c>
      <c r="AA49" s="124" t="e">
        <f t="shared" si="43"/>
        <v>#REF!</v>
      </c>
      <c r="AB49" s="124">
        <f t="shared" si="43"/>
        <v>8302.2000000000007</v>
      </c>
      <c r="AC49" s="124">
        <f>AC6+AC7+AC10+AC35+SUM(AC43:AC46)</f>
        <v>9014.9</v>
      </c>
      <c r="AD49" s="124">
        <f>AD6+AD7+AD10+AD35+SUM(AD43:AD46)</f>
        <v>8765.1</v>
      </c>
      <c r="AE49" s="124">
        <f>AE6+AE7+AE10+AE35+SUM(AE43:AE46)</f>
        <v>8888</v>
      </c>
      <c r="AF49" s="124">
        <f>AF6+AF7+AF10+AF35+SUM(AF43:AF46)</f>
        <v>10384.669</v>
      </c>
      <c r="AG49" s="124">
        <f>AG6+AG7+AG10+AG35+SUM(AG43:AG46)</f>
        <v>10220.371999999999</v>
      </c>
      <c r="AH49" s="124">
        <f>AH6+AH7+AH10+AH35+SUM(AH43:AH47)</f>
        <v>8660.8970000000008</v>
      </c>
      <c r="AI49" s="124">
        <f>AI6+AI7+AI10+AI35+SUM(AI43:AI47)</f>
        <v>7856.3620000000001</v>
      </c>
      <c r="AK49" s="221"/>
      <c r="AL49" s="221"/>
    </row>
    <row r="50" spans="1:41">
      <c r="A50" s="168" t="s">
        <v>77</v>
      </c>
      <c r="B50" s="169">
        <v>-244.23</v>
      </c>
      <c r="C50" s="170">
        <v>-88.843999999999994</v>
      </c>
      <c r="D50" s="171">
        <v>-33.36</v>
      </c>
      <c r="E50" s="171">
        <v>204.16</v>
      </c>
      <c r="F50" s="171">
        <v>410.69</v>
      </c>
      <c r="G50" s="171">
        <v>533.00199999999995</v>
      </c>
      <c r="H50" s="171">
        <f>619.089+2.142</f>
        <v>621.23100000000011</v>
      </c>
      <c r="I50" s="171">
        <v>-1187.6300000000001</v>
      </c>
      <c r="J50" s="228">
        <v>-294.47199999999998</v>
      </c>
      <c r="K50" s="228">
        <f>133.619</f>
        <v>133.619</v>
      </c>
      <c r="L50" s="228">
        <v>-93.2</v>
      </c>
      <c r="M50" s="228">
        <v>-409.76900000000001</v>
      </c>
      <c r="N50" s="228">
        <v>355.50299999999999</v>
      </c>
      <c r="O50" s="228">
        <v>-188.14</v>
      </c>
      <c r="P50" s="228">
        <v>-727.32799999999997</v>
      </c>
      <c r="Q50" s="228">
        <v>-198.22399999999999</v>
      </c>
      <c r="R50" s="109"/>
      <c r="S50" s="172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34"/>
      <c r="AG50" s="134"/>
      <c r="AH50" s="125"/>
      <c r="AI50" s="134"/>
    </row>
    <row r="51" spans="1:41">
      <c r="A51" s="174" t="s">
        <v>79</v>
      </c>
      <c r="B51" s="132">
        <f>+B48+B49+B50</f>
        <v>-115.94</v>
      </c>
      <c r="C51" s="175">
        <f>+C48+C49+C50</f>
        <v>-4.0280000000000058</v>
      </c>
      <c r="D51" s="176">
        <f>+D48+D49+D50</f>
        <v>-54.14</v>
      </c>
      <c r="E51" s="176">
        <f>+E48+E49+E50</f>
        <v>-2.0099999999999909</v>
      </c>
      <c r="F51" s="176">
        <f t="shared" ref="F51" si="44">SUM(F48:F50)</f>
        <v>15.404000000000053</v>
      </c>
      <c r="G51" s="176">
        <f t="shared" ref="G51:N51" si="45">SUM(G48:G50)</f>
        <v>-5.2110000000000127</v>
      </c>
      <c r="H51" s="176">
        <f t="shared" si="45"/>
        <v>-0.57499999999993179</v>
      </c>
      <c r="I51" s="176">
        <f t="shared" si="45"/>
        <v>-5.8360000000002401</v>
      </c>
      <c r="J51" s="103">
        <f t="shared" si="45"/>
        <v>-2.5409999999999968</v>
      </c>
      <c r="K51" s="229">
        <f t="shared" si="45"/>
        <v>-3.2680000000000007</v>
      </c>
      <c r="L51" s="229">
        <f t="shared" si="45"/>
        <v>1.2999999999999972</v>
      </c>
      <c r="M51" s="229">
        <f t="shared" si="45"/>
        <v>7.6289999999999623</v>
      </c>
      <c r="N51" s="229">
        <f t="shared" si="45"/>
        <v>-6.8260000000000218</v>
      </c>
      <c r="O51" s="229">
        <f>SUM(O48:O50)</f>
        <v>-6.9169999999999732</v>
      </c>
      <c r="P51" s="229">
        <f>SUM(P48:P50)</f>
        <v>9.4080000000000155</v>
      </c>
      <c r="Q51" s="229">
        <f>SUM(Q48:Q50)</f>
        <v>100.21800000000002</v>
      </c>
      <c r="R51" s="109"/>
      <c r="S51" s="131"/>
      <c r="T51" s="131"/>
      <c r="U51" s="131"/>
      <c r="V51" s="131"/>
      <c r="W51" s="131"/>
      <c r="X51" s="153"/>
      <c r="Y51" s="153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</row>
    <row r="52" spans="1:41" ht="15.75" customHeight="1">
      <c r="A52" s="166" t="s">
        <v>80</v>
      </c>
      <c r="B52" s="167">
        <v>69.45</v>
      </c>
      <c r="C52" s="167">
        <f t="shared" ref="C52:F52" si="46">C47+C51</f>
        <v>65.421999999999997</v>
      </c>
      <c r="D52" s="167">
        <f t="shared" si="46"/>
        <v>11.281999999999996</v>
      </c>
      <c r="E52" s="167">
        <f t="shared" si="46"/>
        <v>9.2720000000000056</v>
      </c>
      <c r="F52" s="167">
        <f t="shared" si="46"/>
        <v>24.676000000000059</v>
      </c>
      <c r="G52" s="167">
        <f t="shared" ref="G52:N52" si="47">G47+G51</f>
        <v>19.465000000000046</v>
      </c>
      <c r="H52" s="167">
        <f t="shared" si="47"/>
        <v>18.890000000000114</v>
      </c>
      <c r="I52" s="167">
        <f t="shared" si="47"/>
        <v>13.053999999999874</v>
      </c>
      <c r="J52" s="220">
        <f t="shared" si="47"/>
        <v>10.512999999999877</v>
      </c>
      <c r="K52" s="220">
        <f t="shared" si="47"/>
        <v>7.2449999999998766</v>
      </c>
      <c r="L52" s="220">
        <f t="shared" si="47"/>
        <v>8.4999999999999964</v>
      </c>
      <c r="M52" s="220">
        <f>M47+M51</f>
        <v>16.128999999999959</v>
      </c>
      <c r="N52" s="220">
        <f t="shared" si="47"/>
        <v>9.3029999999999369</v>
      </c>
      <c r="O52" s="220">
        <f>O47+O51</f>
        <v>2.3859999999999637</v>
      </c>
      <c r="P52" s="220">
        <f>P47+P51</f>
        <v>11.793999999999979</v>
      </c>
      <c r="Q52" s="220">
        <f>Q47+Q51</f>
        <v>112.012</v>
      </c>
      <c r="R52" s="109"/>
      <c r="S52" s="238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40"/>
      <c r="AJ52"/>
      <c r="AK52"/>
      <c r="AL52"/>
      <c r="AM52"/>
      <c r="AN52"/>
      <c r="AO52"/>
    </row>
    <row r="53" spans="1:41" ht="15">
      <c r="A53" s="175"/>
      <c r="B53" s="175"/>
      <c r="C53" s="175"/>
      <c r="D53" s="175"/>
      <c r="E53" s="175"/>
      <c r="F53" s="175"/>
      <c r="G53" s="175"/>
      <c r="H53" s="103"/>
      <c r="I53" s="103"/>
      <c r="J53" s="179"/>
      <c r="K53" s="179"/>
      <c r="L53" s="179"/>
      <c r="M53" s="103"/>
      <c r="N53" s="103"/>
      <c r="O53" s="103"/>
      <c r="P53" s="103"/>
      <c r="Q53" s="103"/>
      <c r="R53" s="109"/>
      <c r="S53" s="177" t="s">
        <v>81</v>
      </c>
      <c r="T53" s="177" t="s">
        <v>4</v>
      </c>
      <c r="U53" s="177" t="s">
        <v>5</v>
      </c>
      <c r="V53" s="177" t="s">
        <v>6</v>
      </c>
      <c r="W53" s="177" t="s">
        <v>7</v>
      </c>
      <c r="X53" s="108" t="s">
        <v>8</v>
      </c>
      <c r="Y53" s="108" t="s">
        <v>9</v>
      </c>
      <c r="Z53" s="108" t="s">
        <v>10</v>
      </c>
      <c r="AA53" s="108" t="s">
        <v>11</v>
      </c>
      <c r="AB53" s="108" t="s">
        <v>12</v>
      </c>
      <c r="AC53" s="108" t="s">
        <v>107</v>
      </c>
      <c r="AD53" s="108" t="s">
        <v>155</v>
      </c>
      <c r="AE53" s="108" t="s">
        <v>156</v>
      </c>
      <c r="AF53" s="178" t="s">
        <v>162</v>
      </c>
      <c r="AG53" s="98" t="s">
        <v>164</v>
      </c>
      <c r="AH53" s="98" t="s">
        <v>167</v>
      </c>
      <c r="AI53" s="98" t="s">
        <v>172</v>
      </c>
      <c r="AJ53"/>
      <c r="AK53"/>
      <c r="AL53"/>
      <c r="AM53"/>
      <c r="AN53"/>
      <c r="AO53"/>
    </row>
    <row r="54" spans="1:41" ht="15">
      <c r="A54" s="156" t="s">
        <v>86</v>
      </c>
      <c r="B54" s="181"/>
      <c r="C54" s="182" t="e">
        <f>SUM(#REF!)</f>
        <v>#REF!</v>
      </c>
      <c r="D54" s="182" t="e">
        <f>SUM(#REF!)</f>
        <v>#REF!</v>
      </c>
      <c r="E54" s="182" t="e">
        <f>SUM(#REF!)</f>
        <v>#REF!</v>
      </c>
      <c r="F54" s="182">
        <f t="shared" ref="F54:O54" si="48">F48</f>
        <v>-302.62599999999998</v>
      </c>
      <c r="G54" s="182">
        <f t="shared" si="48"/>
        <v>-494.50099999999998</v>
      </c>
      <c r="H54" s="182">
        <f t="shared" si="48"/>
        <v>-581.09400000000005</v>
      </c>
      <c r="I54" s="182">
        <f t="shared" si="48"/>
        <v>1325.107</v>
      </c>
      <c r="J54" s="123">
        <f t="shared" si="48"/>
        <v>319.56299999999999</v>
      </c>
      <c r="K54" s="123">
        <f t="shared" si="48"/>
        <v>-75.459999999999994</v>
      </c>
      <c r="L54" s="123">
        <f t="shared" si="48"/>
        <v>101.5</v>
      </c>
      <c r="M54" s="123">
        <f t="shared" si="48"/>
        <v>441.34399999999999</v>
      </c>
      <c r="N54" s="123">
        <f t="shared" si="48"/>
        <v>-172.31700000000001</v>
      </c>
      <c r="O54" s="123">
        <f t="shared" si="48"/>
        <v>255.88</v>
      </c>
      <c r="P54" s="123">
        <f t="shared" ref="P54:Q54" si="49">P48</f>
        <v>751.52300000000002</v>
      </c>
      <c r="Q54" s="123">
        <f t="shared" si="49"/>
        <v>321.762</v>
      </c>
      <c r="R54" s="109"/>
      <c r="S54" s="131" t="s">
        <v>152</v>
      </c>
      <c r="T54" s="131">
        <v>183.4</v>
      </c>
      <c r="U54" s="131">
        <v>183.4</v>
      </c>
      <c r="V54" s="131">
        <v>183.4</v>
      </c>
      <c r="W54" s="131">
        <v>183.4</v>
      </c>
      <c r="X54" s="131">
        <v>183.4</v>
      </c>
      <c r="Y54" s="131">
        <v>298.7</v>
      </c>
      <c r="Z54" s="131">
        <v>377.75</v>
      </c>
      <c r="AA54" s="131">
        <v>515.6</v>
      </c>
      <c r="AB54" s="180">
        <v>400</v>
      </c>
      <c r="AC54" s="180">
        <v>52</v>
      </c>
      <c r="AD54" s="180">
        <v>65.400000000000006</v>
      </c>
      <c r="AE54" s="180">
        <v>126.2</v>
      </c>
      <c r="AF54" s="180">
        <v>106.3</v>
      </c>
      <c r="AG54" s="180">
        <v>142.75</v>
      </c>
      <c r="AH54" s="180">
        <v>91.85</v>
      </c>
      <c r="AI54" s="224">
        <v>108.7</v>
      </c>
      <c r="AJ54"/>
      <c r="AK54"/>
      <c r="AL54"/>
      <c r="AM54"/>
      <c r="AN54"/>
      <c r="AO54"/>
    </row>
    <row r="55" spans="1:41" ht="15">
      <c r="A55" s="145" t="s">
        <v>88</v>
      </c>
      <c r="B55" s="185"/>
      <c r="C55" s="186">
        <f>-((U19+U20)-(T19+T20))</f>
        <v>-11.745000000000005</v>
      </c>
      <c r="D55" s="186">
        <f>-((V19+V20)-(U19+U20))</f>
        <v>10.098999999999933</v>
      </c>
      <c r="E55" s="186">
        <f>-((W19+W20)-(V19+V20))</f>
        <v>10.902000000000044</v>
      </c>
      <c r="F55" s="186">
        <v>-22.163</v>
      </c>
      <c r="G55" s="186">
        <v>-52.482999999999997</v>
      </c>
      <c r="H55" s="186">
        <v>-80.796000000000006</v>
      </c>
      <c r="I55" s="186">
        <v>-42.31</v>
      </c>
      <c r="J55" s="186">
        <v>-42.31</v>
      </c>
      <c r="K55" s="186">
        <f>-70.237</f>
        <v>-70.236999999999995</v>
      </c>
      <c r="L55" s="186">
        <f>-70.237</f>
        <v>-70.236999999999995</v>
      </c>
      <c r="M55" s="186">
        <v>-31</v>
      </c>
      <c r="N55" s="186">
        <v>-195.71700000000001</v>
      </c>
      <c r="O55" s="186">
        <v>-101.611</v>
      </c>
      <c r="P55" s="186">
        <f>-26.301+0.053</f>
        <v>-26.247999999999998</v>
      </c>
      <c r="Q55" s="186">
        <f>-15.01+0.225</f>
        <v>-14.785</v>
      </c>
      <c r="R55" s="109"/>
      <c r="S55" s="183" t="s">
        <v>82</v>
      </c>
      <c r="T55" s="184">
        <f t="shared" ref="T55:AD55" si="50">B37</f>
        <v>7.07</v>
      </c>
      <c r="U55" s="184">
        <f t="shared" si="50"/>
        <v>10.86</v>
      </c>
      <c r="V55" s="184">
        <f t="shared" si="50"/>
        <v>11.87</v>
      </c>
      <c r="W55" s="184">
        <f t="shared" si="50"/>
        <v>13.68</v>
      </c>
      <c r="X55" s="184">
        <f t="shared" si="50"/>
        <v>17.350000000000001</v>
      </c>
      <c r="Y55" s="184">
        <f t="shared" si="50"/>
        <v>19.18</v>
      </c>
      <c r="Z55" s="184">
        <f t="shared" si="50"/>
        <v>22.6</v>
      </c>
      <c r="AA55" s="184">
        <f t="shared" si="50"/>
        <v>26.18</v>
      </c>
      <c r="AB55" s="184">
        <f t="shared" si="50"/>
        <v>30.52</v>
      </c>
      <c r="AC55" s="184">
        <f t="shared" si="50"/>
        <v>11.09</v>
      </c>
      <c r="AD55" s="184">
        <f t="shared" si="50"/>
        <v>-7.9</v>
      </c>
      <c r="AE55" s="184">
        <v>1.18</v>
      </c>
      <c r="AF55" s="184">
        <v>3.45</v>
      </c>
      <c r="AG55" s="184">
        <v>-14.94</v>
      </c>
      <c r="AH55" s="184">
        <f>P37</f>
        <v>-31.09</v>
      </c>
      <c r="AI55" s="184">
        <f>Q37+P37-29.2</f>
        <v>-113.89</v>
      </c>
      <c r="AJ55" s="225" t="s">
        <v>171</v>
      </c>
      <c r="AK55"/>
      <c r="AL55"/>
      <c r="AM55"/>
      <c r="AN55"/>
      <c r="AO55"/>
    </row>
    <row r="56" spans="1:41" ht="15">
      <c r="A56" s="156" t="s">
        <v>90</v>
      </c>
      <c r="B56" s="181"/>
      <c r="C56" s="123" t="e">
        <f>C55+C54</f>
        <v>#REF!</v>
      </c>
      <c r="D56" s="123" t="e">
        <f>D55+D54</f>
        <v>#REF!</v>
      </c>
      <c r="E56" s="123" t="e">
        <f>E55+E54</f>
        <v>#REF!</v>
      </c>
      <c r="F56" s="187">
        <f>F55+F54</f>
        <v>-324.78899999999999</v>
      </c>
      <c r="G56" s="187">
        <f>G55+G54</f>
        <v>-546.98399999999992</v>
      </c>
      <c r="H56" s="187">
        <f t="shared" ref="H56:M56" si="51">H55+H54</f>
        <v>-661.8900000000001</v>
      </c>
      <c r="I56" s="187">
        <f t="shared" si="51"/>
        <v>1282.797</v>
      </c>
      <c r="J56" s="124">
        <f t="shared" si="51"/>
        <v>277.25299999999999</v>
      </c>
      <c r="K56" s="124">
        <f t="shared" si="51"/>
        <v>-145.697</v>
      </c>
      <c r="L56" s="124">
        <f t="shared" si="51"/>
        <v>31.263000000000005</v>
      </c>
      <c r="M56" s="124">
        <f t="shared" si="51"/>
        <v>410.34399999999999</v>
      </c>
      <c r="N56" s="124">
        <f t="shared" ref="N56" si="52">N55+N54</f>
        <v>-368.03399999999999</v>
      </c>
      <c r="O56" s="124">
        <f>O55+O54</f>
        <v>154.26900000000001</v>
      </c>
      <c r="P56" s="124">
        <f>P55+P54</f>
        <v>725.27499999999998</v>
      </c>
      <c r="Q56" s="124">
        <f>Q55+Q54</f>
        <v>306.97699999999998</v>
      </c>
      <c r="R56" s="109"/>
      <c r="S56" s="183" t="s">
        <v>83</v>
      </c>
      <c r="T56" s="184">
        <f t="shared" ref="T56:AI56" si="53">T6/(B58/1000000)</f>
        <v>33.332868569068211</v>
      </c>
      <c r="U56" s="184">
        <f t="shared" si="53"/>
        <v>46.389335330323604</v>
      </c>
      <c r="V56" s="184">
        <f t="shared" si="53"/>
        <v>54.626257976761963</v>
      </c>
      <c r="W56" s="184">
        <f t="shared" si="53"/>
        <v>64.179849202267704</v>
      </c>
      <c r="X56" s="184">
        <f t="shared" si="53"/>
        <v>116.7506473620514</v>
      </c>
      <c r="Y56" s="184">
        <f t="shared" si="53"/>
        <v>134.25064064810852</v>
      </c>
      <c r="Z56" s="184">
        <f t="shared" si="53"/>
        <v>156.86713666228894</v>
      </c>
      <c r="AA56" s="184">
        <f t="shared" si="53"/>
        <v>181.52662111461828</v>
      </c>
      <c r="AB56" s="184">
        <f t="shared" si="53"/>
        <v>210.32483747935555</v>
      </c>
      <c r="AC56" s="184">
        <f t="shared" si="53"/>
        <v>219.61767020001554</v>
      </c>
      <c r="AD56" s="184">
        <f t="shared" si="53"/>
        <v>212.01344009961801</v>
      </c>
      <c r="AE56" s="184">
        <f t="shared" si="53"/>
        <v>214.03314127287311</v>
      </c>
      <c r="AF56" s="184">
        <f t="shared" si="53"/>
        <v>217.75910365588356</v>
      </c>
      <c r="AG56" s="184">
        <f t="shared" si="53"/>
        <v>203.19411904989536</v>
      </c>
      <c r="AH56" s="184">
        <f t="shared" si="53"/>
        <v>172.67475732970564</v>
      </c>
      <c r="AI56" s="184" t="s">
        <v>150</v>
      </c>
      <c r="AJ56"/>
      <c r="AK56"/>
      <c r="AL56"/>
      <c r="AM56"/>
      <c r="AN56"/>
      <c r="AO56"/>
    </row>
    <row r="57" spans="1:41" ht="15">
      <c r="A57" s="145"/>
      <c r="B57" s="145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03"/>
      <c r="N57" s="103"/>
      <c r="O57" s="103"/>
      <c r="P57" s="103"/>
      <c r="Q57" s="109"/>
      <c r="R57" s="109"/>
      <c r="S57" s="118" t="s">
        <v>84</v>
      </c>
      <c r="T57" s="118">
        <v>0</v>
      </c>
      <c r="U57" s="118">
        <v>0</v>
      </c>
      <c r="V57" s="118">
        <v>0</v>
      </c>
      <c r="W57" s="118">
        <v>0</v>
      </c>
      <c r="X57" s="188">
        <v>1.2</v>
      </c>
      <c r="Y57" s="188">
        <v>1.4</v>
      </c>
      <c r="Z57" s="188">
        <v>1.4</v>
      </c>
      <c r="AA57" s="188">
        <v>1.55</v>
      </c>
      <c r="AB57" s="188">
        <v>1.65</v>
      </c>
      <c r="AC57" s="188">
        <v>1.65</v>
      </c>
      <c r="AD57" s="188">
        <v>0</v>
      </c>
      <c r="AE57" s="188">
        <v>0</v>
      </c>
      <c r="AF57" s="188">
        <v>0</v>
      </c>
      <c r="AG57" s="188">
        <v>0</v>
      </c>
      <c r="AH57" s="188">
        <v>0</v>
      </c>
      <c r="AI57" s="188">
        <v>0</v>
      </c>
      <c r="AJ57"/>
      <c r="AK57"/>
      <c r="AL57"/>
      <c r="AM57"/>
      <c r="AN57"/>
      <c r="AO57"/>
    </row>
    <row r="58" spans="1:41" ht="15">
      <c r="A58" s="156" t="s">
        <v>93</v>
      </c>
      <c r="B58" s="101">
        <v>27182239</v>
      </c>
      <c r="C58" s="101">
        <v>27182239</v>
      </c>
      <c r="D58" s="101">
        <v>27182239</v>
      </c>
      <c r="E58" s="101">
        <v>27182239</v>
      </c>
      <c r="F58" s="101">
        <v>27182239</v>
      </c>
      <c r="G58" s="101">
        <v>27182239</v>
      </c>
      <c r="H58" s="101">
        <v>27182239</v>
      </c>
      <c r="I58" s="101">
        <v>27182239</v>
      </c>
      <c r="J58" s="101">
        <v>27182239</v>
      </c>
      <c r="K58" s="101">
        <v>27182239</v>
      </c>
      <c r="L58" s="101">
        <v>27182239</v>
      </c>
      <c r="M58" s="101">
        <v>27182239</v>
      </c>
      <c r="N58" s="101">
        <v>27182239</v>
      </c>
      <c r="O58" s="101">
        <v>27226349</v>
      </c>
      <c r="P58" s="101">
        <v>27320299</v>
      </c>
      <c r="Q58" s="101">
        <v>27320299</v>
      </c>
      <c r="R58" s="109"/>
      <c r="S58" s="183" t="s">
        <v>85</v>
      </c>
      <c r="T58" s="184">
        <f t="shared" ref="T58:AB58" si="54">+T54/T55</f>
        <v>25.940594059405939</v>
      </c>
      <c r="U58" s="184">
        <f t="shared" si="54"/>
        <v>16.887661141804788</v>
      </c>
      <c r="V58" s="184">
        <f t="shared" si="54"/>
        <v>15.450716090985679</v>
      </c>
      <c r="W58" s="184">
        <f t="shared" si="54"/>
        <v>13.406432748538013</v>
      </c>
      <c r="X58" s="184">
        <f t="shared" si="54"/>
        <v>10.570605187319885</v>
      </c>
      <c r="Y58" s="184">
        <f t="shared" si="54"/>
        <v>15.573514077163711</v>
      </c>
      <c r="Z58" s="184">
        <f t="shared" si="54"/>
        <v>16.714601769911503</v>
      </c>
      <c r="AA58" s="184">
        <f t="shared" si="54"/>
        <v>19.694423223834988</v>
      </c>
      <c r="AB58" s="184">
        <f t="shared" si="54"/>
        <v>13.106159895150721</v>
      </c>
      <c r="AC58" s="184">
        <f>+AC54/AC55</f>
        <v>4.6889089269612265</v>
      </c>
      <c r="AD58" s="184">
        <f>+AD54/AD55</f>
        <v>-8.2784810126582276</v>
      </c>
      <c r="AE58" s="184">
        <v>61.153820403476672</v>
      </c>
      <c r="AF58" s="184">
        <f>AF54/AF55</f>
        <v>30.811594202898547</v>
      </c>
      <c r="AG58" s="184" t="s">
        <v>150</v>
      </c>
      <c r="AH58" s="184" t="s">
        <v>150</v>
      </c>
      <c r="AI58" s="184" t="s">
        <v>150</v>
      </c>
      <c r="AJ58"/>
      <c r="AK58"/>
      <c r="AL58"/>
      <c r="AM58"/>
      <c r="AN58"/>
      <c r="AO58"/>
    </row>
    <row r="59" spans="1:41">
      <c r="A59" s="145" t="s">
        <v>168</v>
      </c>
      <c r="B59" s="149">
        <f t="shared" ref="B59:O59" si="55">B58*T54/1000000</f>
        <v>4985.2226326</v>
      </c>
      <c r="C59" s="149">
        <f t="shared" si="55"/>
        <v>4985.2226326</v>
      </c>
      <c r="D59" s="128">
        <f t="shared" si="55"/>
        <v>4985.2226326</v>
      </c>
      <c r="E59" s="128">
        <f t="shared" si="55"/>
        <v>4985.2226326</v>
      </c>
      <c r="F59" s="128">
        <f t="shared" si="55"/>
        <v>4985.2226326</v>
      </c>
      <c r="G59" s="128">
        <f t="shared" si="55"/>
        <v>8119.3347892999991</v>
      </c>
      <c r="H59" s="128">
        <f t="shared" si="55"/>
        <v>10268.090782249999</v>
      </c>
      <c r="I59" s="128">
        <f t="shared" si="55"/>
        <v>14015.162428400001</v>
      </c>
      <c r="J59" s="128">
        <f t="shared" si="55"/>
        <v>10872.8956</v>
      </c>
      <c r="K59" s="128">
        <f t="shared" si="55"/>
        <v>1413.4764279999999</v>
      </c>
      <c r="L59" s="128">
        <f t="shared" si="55"/>
        <v>1777.7184306000001</v>
      </c>
      <c r="M59" s="128">
        <f t="shared" si="55"/>
        <v>3430.3985618000002</v>
      </c>
      <c r="N59" s="128">
        <f t="shared" si="55"/>
        <v>2889.4720057</v>
      </c>
      <c r="O59" s="128">
        <f t="shared" si="55"/>
        <v>3886.5613197500002</v>
      </c>
      <c r="P59" s="128">
        <f>P58*AH54/10^6</f>
        <v>2509.3694631499998</v>
      </c>
      <c r="Q59" s="128">
        <f>Q58*AI54/10^6</f>
        <v>2969.7165013000003</v>
      </c>
      <c r="R59" s="109"/>
      <c r="S59" s="183" t="s">
        <v>87</v>
      </c>
      <c r="T59" s="184">
        <f t="shared" ref="T59:AB59" si="56">+T54/T56</f>
        <v>5.5020767150592338</v>
      </c>
      <c r="U59" s="184">
        <f t="shared" si="56"/>
        <v>3.9534948861428458</v>
      </c>
      <c r="V59" s="184">
        <f t="shared" si="56"/>
        <v>3.3573597532164561</v>
      </c>
      <c r="W59" s="184">
        <f t="shared" si="56"/>
        <v>2.8575947478779651</v>
      </c>
      <c r="X59" s="184">
        <f t="shared" si="56"/>
        <v>1.5708692340802584</v>
      </c>
      <c r="Y59" s="184">
        <f t="shared" si="56"/>
        <v>2.2249428275201937</v>
      </c>
      <c r="Z59" s="184">
        <f t="shared" si="56"/>
        <v>2.408088832610225</v>
      </c>
      <c r="AA59" s="184">
        <f t="shared" si="56"/>
        <v>2.84035474705632</v>
      </c>
      <c r="AB59" s="184">
        <f t="shared" si="56"/>
        <v>1.9018200836088226</v>
      </c>
      <c r="AC59" s="184">
        <f>+AC54/AC56</f>
        <v>0.23677511901770606</v>
      </c>
      <c r="AD59" s="184">
        <f>+AD54/AD56</f>
        <v>0.30847100999479438</v>
      </c>
      <c r="AE59" s="184">
        <f>+AE54/AE56</f>
        <v>0.58962831293078244</v>
      </c>
      <c r="AF59" s="184">
        <f>AF54/AF56</f>
        <v>0.48815410338932075</v>
      </c>
      <c r="AG59" s="184">
        <f>AG54/AG56</f>
        <v>0.70253017492571723</v>
      </c>
      <c r="AH59" s="184">
        <f>AH54/AH56</f>
        <v>0.53192488248077485</v>
      </c>
      <c r="AI59" s="184" t="s">
        <v>150</v>
      </c>
    </row>
    <row r="60" spans="1:41">
      <c r="A60" s="145" t="s">
        <v>96</v>
      </c>
      <c r="B60" s="149">
        <f t="shared" ref="B60:N60" si="57">T10</f>
        <v>961.26699999999994</v>
      </c>
      <c r="C60" s="149">
        <f t="shared" si="57"/>
        <v>928.202</v>
      </c>
      <c r="D60" s="128">
        <f t="shared" si="57"/>
        <v>1101.5809999999999</v>
      </c>
      <c r="E60" s="128">
        <f t="shared" si="57"/>
        <v>1512.3389999999999</v>
      </c>
      <c r="F60" s="128">
        <f t="shared" si="57"/>
        <v>1057.299</v>
      </c>
      <c r="G60" s="128">
        <f t="shared" si="57"/>
        <v>1772.7779999999998</v>
      </c>
      <c r="H60" s="128">
        <f t="shared" si="57"/>
        <v>2671.9</v>
      </c>
      <c r="I60" s="128">
        <f t="shared" si="57"/>
        <v>1879.5</v>
      </c>
      <c r="J60" s="128">
        <f t="shared" si="57"/>
        <v>1972.6</v>
      </c>
      <c r="K60" s="128">
        <f t="shared" si="57"/>
        <v>2389.1999999999998</v>
      </c>
      <c r="L60" s="128">
        <f t="shared" si="57"/>
        <v>2625.2999999999997</v>
      </c>
      <c r="M60" s="128">
        <f t="shared" si="57"/>
        <v>2477.6</v>
      </c>
      <c r="N60" s="128">
        <f t="shared" si="57"/>
        <v>3127.77</v>
      </c>
      <c r="O60" s="128">
        <f>AG10</f>
        <v>3317.9720000000002</v>
      </c>
      <c r="P60" s="128">
        <f>AH10</f>
        <v>3002.4659999999999</v>
      </c>
      <c r="Q60" s="128">
        <f>AI10</f>
        <v>2952.7340000000004</v>
      </c>
      <c r="R60" s="109"/>
      <c r="S60" s="183" t="s">
        <v>89</v>
      </c>
      <c r="T60" s="184">
        <f t="shared" ref="T60:AB60" si="58">T13/B13</f>
        <v>17.812338631032134</v>
      </c>
      <c r="U60" s="184">
        <f t="shared" si="58"/>
        <v>12.564188704694375</v>
      </c>
      <c r="V60" s="184">
        <f t="shared" si="58"/>
        <v>10.592275616389633</v>
      </c>
      <c r="W60" s="184">
        <f t="shared" si="58"/>
        <v>0.92945764023691757</v>
      </c>
      <c r="X60" s="184">
        <f t="shared" si="58"/>
        <v>0.70150283133792546</v>
      </c>
      <c r="Y60" s="184">
        <f t="shared" si="58"/>
        <v>0.59671414389155952</v>
      </c>
      <c r="Z60" s="184">
        <f t="shared" si="58"/>
        <v>0.53820948490178122</v>
      </c>
      <c r="AA60" s="184">
        <f t="shared" si="58"/>
        <v>0.48128901044954059</v>
      </c>
      <c r="AB60" s="184">
        <f t="shared" si="58"/>
        <v>0.45388885368481074</v>
      </c>
      <c r="AC60" s="184">
        <f>K62/K13</f>
        <v>4.9368264913422761</v>
      </c>
      <c r="AD60" s="184">
        <f>L62/L13</f>
        <v>34.471484320063723</v>
      </c>
      <c r="AE60" s="184">
        <v>15.298581880041905</v>
      </c>
      <c r="AF60" s="184">
        <f>N62/390</f>
        <v>15.397787194102564</v>
      </c>
      <c r="AG60" s="184" t="s">
        <v>150</v>
      </c>
      <c r="AH60" s="184" t="s">
        <v>150</v>
      </c>
      <c r="AI60" s="184" t="s">
        <v>150</v>
      </c>
    </row>
    <row r="61" spans="1:41">
      <c r="A61" s="145" t="s">
        <v>98</v>
      </c>
      <c r="B61" s="149">
        <f t="shared" ref="B61:N61" si="59">T30</f>
        <v>69.450999999999993</v>
      </c>
      <c r="C61" s="149">
        <f t="shared" si="59"/>
        <v>65.423000000000002</v>
      </c>
      <c r="D61" s="128">
        <f t="shared" si="59"/>
        <v>11.265000000000001</v>
      </c>
      <c r="E61" s="128">
        <f t="shared" si="59"/>
        <v>9.254999999999999</v>
      </c>
      <c r="F61" s="128">
        <f t="shared" si="59"/>
        <v>24.66</v>
      </c>
      <c r="G61" s="128">
        <f t="shared" si="59"/>
        <v>19.449000000000002</v>
      </c>
      <c r="H61" s="128">
        <f t="shared" si="59"/>
        <v>18.899999999999999</v>
      </c>
      <c r="I61" s="128">
        <f t="shared" si="59"/>
        <v>13</v>
      </c>
      <c r="J61" s="128">
        <f t="shared" si="59"/>
        <v>13.4</v>
      </c>
      <c r="K61" s="128">
        <f t="shared" si="59"/>
        <v>10.7</v>
      </c>
      <c r="L61" s="128">
        <f t="shared" si="59"/>
        <v>73.400000000000006</v>
      </c>
      <c r="M61" s="128">
        <f t="shared" si="59"/>
        <v>67</v>
      </c>
      <c r="N61" s="128">
        <f t="shared" si="59"/>
        <v>12.105</v>
      </c>
      <c r="O61" s="128">
        <f>AG30+AG29</f>
        <v>2.379</v>
      </c>
      <c r="P61" s="128">
        <f>AH30+AH29</f>
        <v>25.206</v>
      </c>
      <c r="Q61" s="128">
        <f>AI30+AI29</f>
        <v>111.994</v>
      </c>
      <c r="R61" s="109"/>
      <c r="S61" s="183" t="s">
        <v>91</v>
      </c>
      <c r="T61" s="189">
        <f t="shared" ref="T61:AD61" si="60">+B29/T6</f>
        <v>0.15179755910743392</v>
      </c>
      <c r="U61" s="189">
        <f t="shared" si="60"/>
        <v>0.16982614915866115</v>
      </c>
      <c r="V61" s="189">
        <f t="shared" si="60"/>
        <v>0.16607850954700235</v>
      </c>
      <c r="W61" s="189">
        <f t="shared" si="60"/>
        <v>0.15130704043215698</v>
      </c>
      <c r="X61" s="189">
        <f t="shared" si="60"/>
        <v>0.12893597819976649</v>
      </c>
      <c r="Y61" s="189">
        <f t="shared" si="60"/>
        <v>0.14276945319742546</v>
      </c>
      <c r="Z61" s="189">
        <f t="shared" si="60"/>
        <v>0.14473663227016884</v>
      </c>
      <c r="AA61" s="189">
        <f t="shared" si="60"/>
        <v>0.14419471860243604</v>
      </c>
      <c r="AB61" s="189">
        <f t="shared" si="60"/>
        <v>0.14507355127599664</v>
      </c>
      <c r="AC61" s="189">
        <f t="shared" si="60"/>
        <v>5.0488299244518052E-2</v>
      </c>
      <c r="AD61" s="189">
        <f t="shared" si="60"/>
        <v>-3.7272254034357112E-2</v>
      </c>
      <c r="AE61" s="190">
        <f>M29/AE6</f>
        <v>9.0926279241650733E-3</v>
      </c>
      <c r="AF61" s="190">
        <f>N29/AF6</f>
        <v>1.58214482411414E-2</v>
      </c>
      <c r="AG61" s="190">
        <f>O29/AG6</f>
        <v>-7.3509363486793877E-2</v>
      </c>
      <c r="AH61" s="190">
        <f>P29/AH6</f>
        <v>-0.18009248915639228</v>
      </c>
      <c r="AI61" s="190" t="s">
        <v>150</v>
      </c>
    </row>
    <row r="62" spans="1:41">
      <c r="A62" s="145" t="s">
        <v>100</v>
      </c>
      <c r="B62" s="134"/>
      <c r="C62" s="134"/>
      <c r="D62" s="128">
        <f t="shared" ref="D62:I62" si="61">D59+D60-D61</f>
        <v>6075.5386325999998</v>
      </c>
      <c r="E62" s="128">
        <f t="shared" si="61"/>
        <v>6488.3066325999998</v>
      </c>
      <c r="F62" s="128">
        <f t="shared" si="61"/>
        <v>6017.8616326000001</v>
      </c>
      <c r="G62" s="128">
        <f t="shared" si="61"/>
        <v>9872.6637892999988</v>
      </c>
      <c r="H62" s="128">
        <f t="shared" si="61"/>
        <v>12921.090782249999</v>
      </c>
      <c r="I62" s="128">
        <f t="shared" si="61"/>
        <v>15881.662428400001</v>
      </c>
      <c r="J62" s="128">
        <f t="shared" ref="J62:N62" si="62">J59+J60-J61</f>
        <v>12832.095600000001</v>
      </c>
      <c r="K62" s="128">
        <f t="shared" si="62"/>
        <v>3791.9764279999999</v>
      </c>
      <c r="L62" s="128">
        <f t="shared" si="62"/>
        <v>4329.6184306000005</v>
      </c>
      <c r="M62" s="128">
        <f t="shared" si="62"/>
        <v>5840.9985618000001</v>
      </c>
      <c r="N62" s="128">
        <f t="shared" si="62"/>
        <v>6005.1370057000004</v>
      </c>
      <c r="O62" s="128">
        <f>O59+O60-O61</f>
        <v>7202.1543197500005</v>
      </c>
      <c r="P62" s="128">
        <f>P59+P60-P61</f>
        <v>5486.6294631499995</v>
      </c>
      <c r="Q62" s="128">
        <f>Q59+Q60-Q61</f>
        <v>5810.456501300001</v>
      </c>
      <c r="R62" s="191"/>
      <c r="S62" s="217" t="s">
        <v>92</v>
      </c>
      <c r="T62" s="218">
        <f t="shared" ref="T62:AH62" si="63">(B22+B20)/T11</f>
        <v>0.16898876992064416</v>
      </c>
      <c r="U62" s="218">
        <f t="shared" si="63"/>
        <v>0.21764704830901049</v>
      </c>
      <c r="V62" s="218">
        <f t="shared" si="63"/>
        <v>0.21130858486273327</v>
      </c>
      <c r="W62" s="218">
        <f t="shared" si="63"/>
        <v>0.18577057474965455</v>
      </c>
      <c r="X62" s="218">
        <f t="shared" si="63"/>
        <v>0.19615848887583787</v>
      </c>
      <c r="Y62" s="218">
        <f t="shared" si="63"/>
        <v>0.19227749060814062</v>
      </c>
      <c r="Z62" s="218">
        <f t="shared" si="63"/>
        <v>0.18137655824616708</v>
      </c>
      <c r="AA62" s="219">
        <f t="shared" si="63"/>
        <v>0.20309251178727269</v>
      </c>
      <c r="AB62" s="219">
        <f t="shared" si="63"/>
        <v>0.19959813326419501</v>
      </c>
      <c r="AC62" s="219">
        <f t="shared" si="63"/>
        <v>7.8983844756715341E-2</v>
      </c>
      <c r="AD62" s="219">
        <f t="shared" si="63"/>
        <v>7.5472599386187979E-3</v>
      </c>
      <c r="AE62" s="219">
        <f t="shared" si="63"/>
        <v>3.7646773998305287E-2</v>
      </c>
      <c r="AF62" s="219">
        <f t="shared" si="63"/>
        <v>5.0285442404220677E-2</v>
      </c>
      <c r="AG62" s="219">
        <f t="shared" si="63"/>
        <v>-1.0626604473002021E-3</v>
      </c>
      <c r="AH62" s="219">
        <f t="shared" si="63"/>
        <v>-9.9773023303800404E-2</v>
      </c>
      <c r="AI62" s="219" t="s">
        <v>150</v>
      </c>
    </row>
    <row r="63" spans="1:4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09"/>
      <c r="N63" s="109"/>
      <c r="O63" s="109"/>
      <c r="P63" s="109"/>
      <c r="Q63" s="109"/>
      <c r="R63" s="191"/>
      <c r="S63" s="183" t="s">
        <v>94</v>
      </c>
      <c r="T63" s="192">
        <f t="shared" ref="T63:AI63" si="64">T10/T6</f>
        <v>1.0609285015815695</v>
      </c>
      <c r="U63" s="192">
        <f t="shared" si="64"/>
        <v>0.73610390763906397</v>
      </c>
      <c r="V63" s="192">
        <f t="shared" si="64"/>
        <v>0.74187332981337006</v>
      </c>
      <c r="W63" s="192">
        <f t="shared" si="64"/>
        <v>0.86689247440030448</v>
      </c>
      <c r="X63" s="192">
        <f t="shared" si="64"/>
        <v>0.3331603406160431</v>
      </c>
      <c r="Y63" s="192">
        <f t="shared" si="64"/>
        <v>0.48579468617103916</v>
      </c>
      <c r="Z63" s="192">
        <f t="shared" si="64"/>
        <v>0.62661819887429648</v>
      </c>
      <c r="AA63" s="192">
        <f t="shared" si="64"/>
        <v>0.38090509292098168</v>
      </c>
      <c r="AB63" s="192">
        <f t="shared" si="64"/>
        <v>0.34503507022791269</v>
      </c>
      <c r="AC63" s="192">
        <f t="shared" si="64"/>
        <v>0.40022111663902704</v>
      </c>
      <c r="AD63" s="192">
        <f t="shared" si="64"/>
        <v>0.45554398750650699</v>
      </c>
      <c r="AE63" s="184">
        <f t="shared" si="64"/>
        <v>0.42585812750305085</v>
      </c>
      <c r="AF63" s="184">
        <f t="shared" si="64"/>
        <v>0.52841271932936651</v>
      </c>
      <c r="AG63" s="184">
        <f t="shared" si="64"/>
        <v>0.59975264965292507</v>
      </c>
      <c r="AH63" s="184">
        <f t="shared" si="64"/>
        <v>0.63644927447140731</v>
      </c>
      <c r="AI63" s="219" t="s">
        <v>150</v>
      </c>
    </row>
    <row r="64" spans="1:4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09"/>
      <c r="N64" s="109"/>
      <c r="O64" s="109"/>
      <c r="P64" s="109"/>
      <c r="Q64" s="109"/>
      <c r="R64" s="191"/>
      <c r="S64" s="183" t="s">
        <v>95</v>
      </c>
      <c r="T64" s="192">
        <f t="shared" ref="T64:AD64" si="65">(T10-T30)/T6</f>
        <v>0.98427701415576407</v>
      </c>
      <c r="U64" s="192">
        <f t="shared" si="65"/>
        <v>0.68422066891573596</v>
      </c>
      <c r="V64" s="192">
        <f t="shared" si="65"/>
        <v>0.7342867764320502</v>
      </c>
      <c r="W64" s="192">
        <f t="shared" si="65"/>
        <v>0.86158738747827512</v>
      </c>
      <c r="X64" s="192">
        <f t="shared" si="65"/>
        <v>0.32538984806890964</v>
      </c>
      <c r="Y64" s="192">
        <f t="shared" si="65"/>
        <v>0.48046507307151931</v>
      </c>
      <c r="Z64" s="192">
        <f t="shared" si="65"/>
        <v>0.62218574108818014</v>
      </c>
      <c r="AA64" s="192">
        <f t="shared" si="65"/>
        <v>0.37827047402873759</v>
      </c>
      <c r="AB64" s="192">
        <f t="shared" si="65"/>
        <v>0.34269122457189827</v>
      </c>
      <c r="AC64" s="192">
        <f t="shared" si="65"/>
        <v>0.39842873176206511</v>
      </c>
      <c r="AD64" s="192">
        <f t="shared" si="65"/>
        <v>0.44280756550407768</v>
      </c>
      <c r="AE64" s="184">
        <f>(AE10-AE30-AE29)/AE6</f>
        <v>0.41157462314580856</v>
      </c>
      <c r="AF64" s="184">
        <f>(AF10-AF30-AF29)/AF6</f>
        <v>0.52480309772637423</v>
      </c>
      <c r="AG64" s="184">
        <f>(AG10-AG30-AG29)/AG6</f>
        <v>0.59932262445876305</v>
      </c>
      <c r="AH64" s="184">
        <f>(AH10-AH30-AH29)/AH6</f>
        <v>0.63110621965835478</v>
      </c>
      <c r="AI64" s="219" t="s">
        <v>150</v>
      </c>
    </row>
    <row r="65" spans="1:3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09"/>
      <c r="N65" s="109"/>
      <c r="O65" s="109"/>
      <c r="P65" s="194"/>
      <c r="Q65" s="194"/>
      <c r="R65" s="195"/>
      <c r="S65" s="183" t="s">
        <v>97</v>
      </c>
      <c r="T65" s="193">
        <f t="shared" ref="T65:AB65" si="66">T57/T54</f>
        <v>0</v>
      </c>
      <c r="U65" s="193">
        <f t="shared" si="66"/>
        <v>0</v>
      </c>
      <c r="V65" s="193">
        <f t="shared" si="66"/>
        <v>0</v>
      </c>
      <c r="W65" s="193">
        <f t="shared" si="66"/>
        <v>0</v>
      </c>
      <c r="X65" s="193">
        <f t="shared" si="66"/>
        <v>6.5430752453653216E-3</v>
      </c>
      <c r="Y65" s="193">
        <f t="shared" si="66"/>
        <v>4.6869768998995644E-3</v>
      </c>
      <c r="Z65" s="193">
        <f t="shared" si="66"/>
        <v>3.7061548643282593E-3</v>
      </c>
      <c r="AA65" s="193">
        <f t="shared" si="66"/>
        <v>3.0062063615205587E-3</v>
      </c>
      <c r="AB65" s="193">
        <f t="shared" si="66"/>
        <v>4.1250000000000002E-3</v>
      </c>
      <c r="AC65" s="193">
        <f>AC57/AC54</f>
        <v>3.1730769230769229E-2</v>
      </c>
      <c r="AD65" s="193">
        <f>AD57/AD54</f>
        <v>0</v>
      </c>
      <c r="AE65" s="193">
        <f>AE57/AE54</f>
        <v>0</v>
      </c>
      <c r="AF65" s="193">
        <f t="shared" ref="AF65:AH65" si="67">AF57/AF54</f>
        <v>0</v>
      </c>
      <c r="AG65" s="193">
        <f t="shared" si="67"/>
        <v>0</v>
      </c>
      <c r="AH65" s="193">
        <f t="shared" si="67"/>
        <v>0</v>
      </c>
      <c r="AI65" s="193" t="s">
        <v>150</v>
      </c>
    </row>
    <row r="66" spans="1:3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09"/>
      <c r="N66" s="109"/>
      <c r="O66" s="109"/>
      <c r="P66" s="109"/>
      <c r="Q66" s="109"/>
      <c r="R66" s="195"/>
      <c r="S66" s="183" t="s">
        <v>99</v>
      </c>
      <c r="T66" s="196">
        <f>(AVERAGE(T28:T28)/B5)*365</f>
        <v>194.78050338749236</v>
      </c>
      <c r="U66" s="196">
        <f>(AVERAGE(U28:U28)/C5)*365</f>
        <v>189.93862736942967</v>
      </c>
      <c r="V66" s="196">
        <f>(AVERAGE(V28:V28)/D5)*365</f>
        <v>126.18955569319033</v>
      </c>
      <c r="W66" s="196">
        <f>(AVERAGE(W28:W28)/E5)*365</f>
        <v>193.87997675050516</v>
      </c>
      <c r="X66" s="196">
        <f>(AVERAGE(X28:X28)/F5)*365</f>
        <v>143.14421923314779</v>
      </c>
      <c r="Y66" s="196">
        <f>(AVERAGE(X28:Y28)/G5)*365</f>
        <v>113.73738821333033</v>
      </c>
      <c r="Z66" s="196">
        <f>(AVERAGE(Y28:Z28)/H4)*365</f>
        <v>127.57034345404554</v>
      </c>
      <c r="AA66" s="196">
        <f>(AVERAGE(Z28:AA28)/I4)*365</f>
        <v>123.54092981415984</v>
      </c>
      <c r="AB66" s="196">
        <f>(AVERAGE(AA28:AB28)/J4)*365</f>
        <v>96.287929485937696</v>
      </c>
      <c r="AC66" s="196">
        <f>(AVERAGE(AB28:AC28)/K4)*365</f>
        <v>93.835600420937752</v>
      </c>
      <c r="AD66" s="196">
        <f>(AVERAGE(AC28:AD28)/L4)*365</f>
        <v>93.593503905371094</v>
      </c>
      <c r="AE66" s="184">
        <f>AVERAGE(AD28:AE28)/M4*365</f>
        <v>53.290574200314623</v>
      </c>
      <c r="AF66" s="184">
        <f>AVERAGE(AE28:AF28)/N4*365</f>
        <v>60.133190473709469</v>
      </c>
      <c r="AG66" s="184">
        <f>AVERAGE(AF28:AG28)/O4*365</f>
        <v>70.195900699706712</v>
      </c>
      <c r="AH66" s="184">
        <f>AVERAGE(AG28:AH28)/P4*365</f>
        <v>66.921879796275562</v>
      </c>
      <c r="AI66" s="184" t="s">
        <v>150</v>
      </c>
    </row>
    <row r="67" spans="1:35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95"/>
      <c r="S67" s="183" t="s">
        <v>101</v>
      </c>
      <c r="T67" s="196">
        <f>(AVERAGE(T37:T37)/B8)*365</f>
        <v>36.390222890753428</v>
      </c>
      <c r="U67" s="196">
        <f>(AVERAGE(U37:U37)/C8)*365</f>
        <v>61.544430673061385</v>
      </c>
      <c r="V67" s="196">
        <f>(AVERAGE(V37:V37)/D8)*365</f>
        <v>20.84186253977613</v>
      </c>
      <c r="W67" s="196">
        <f>(AVERAGE(W37:W37)/E8)*365</f>
        <v>55.852390582478222</v>
      </c>
      <c r="X67" s="196">
        <f>(AVERAGE(X37:X37)/F8)*365</f>
        <v>25.433900822910612</v>
      </c>
      <c r="Y67" s="196">
        <f t="shared" ref="Y67:AD67" si="68">(AVERAGE(X37:Y37)/G8)*365</f>
        <v>18.431547011289712</v>
      </c>
      <c r="Z67" s="196">
        <f t="shared" si="68"/>
        <v>18.124046512549832</v>
      </c>
      <c r="AA67" s="196">
        <f t="shared" si="68"/>
        <v>19.564480290875512</v>
      </c>
      <c r="AB67" s="196">
        <f t="shared" si="68"/>
        <v>21.32030144870982</v>
      </c>
      <c r="AC67" s="196">
        <f t="shared" si="68"/>
        <v>32.992459835445644</v>
      </c>
      <c r="AD67" s="196">
        <f t="shared" si="68"/>
        <v>45.430916094456542</v>
      </c>
      <c r="AE67" s="184">
        <f>AVERAGE(AD37:AE37)/M8*365</f>
        <v>39.373100853711477</v>
      </c>
      <c r="AF67" s="184">
        <f>AVERAGE(AE37:AF37)/N8*365</f>
        <v>51.33268673859051</v>
      </c>
      <c r="AG67" s="184">
        <f>AVERAGE(AF37:AG37)/O8*365</f>
        <v>51.781953363167091</v>
      </c>
      <c r="AH67" s="184">
        <f>AVERAGE(AG37:AH37)/P8*365</f>
        <v>41.819495138492215</v>
      </c>
      <c r="AI67" s="184" t="s">
        <v>150</v>
      </c>
    </row>
    <row r="68" spans="1:35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95"/>
      <c r="S68" s="183" t="s">
        <v>102</v>
      </c>
      <c r="T68" s="196">
        <f t="shared" ref="T68:AH68" si="69">((AVERAGE(S27:T27))/(B9+B10))*365</f>
        <v>190.2146510840939</v>
      </c>
      <c r="U68" s="196">
        <f t="shared" si="69"/>
        <v>259.58361218597088</v>
      </c>
      <c r="V68" s="196">
        <f t="shared" si="69"/>
        <v>349.2610955771807</v>
      </c>
      <c r="W68" s="196">
        <f t="shared" si="69"/>
        <v>380.87855687267086</v>
      </c>
      <c r="X68" s="196">
        <f t="shared" si="69"/>
        <v>440.13675969181799</v>
      </c>
      <c r="Y68" s="196">
        <f t="shared" si="69"/>
        <v>548.2206915604504</v>
      </c>
      <c r="Z68" s="196">
        <f t="shared" si="69"/>
        <v>664.84110673558121</v>
      </c>
      <c r="AA68" s="196">
        <f t="shared" si="69"/>
        <v>675.5870885439125</v>
      </c>
      <c r="AB68" s="196">
        <f t="shared" si="69"/>
        <v>650.83333333333337</v>
      </c>
      <c r="AC68" s="196">
        <f t="shared" si="69"/>
        <v>718.75721808335572</v>
      </c>
      <c r="AD68" s="196">
        <f t="shared" si="69"/>
        <v>1242.6368716401018</v>
      </c>
      <c r="AE68" s="196">
        <f t="shared" si="69"/>
        <v>1069.8538776669102</v>
      </c>
      <c r="AF68" s="196">
        <f t="shared" si="69"/>
        <v>688.86739067598216</v>
      </c>
      <c r="AG68" s="196">
        <f t="shared" si="69"/>
        <v>497.73771560265772</v>
      </c>
      <c r="AH68" s="196">
        <f t="shared" si="69"/>
        <v>394.10228673084185</v>
      </c>
      <c r="AI68" s="184" t="s">
        <v>150</v>
      </c>
    </row>
    <row r="69" spans="1:35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95"/>
      <c r="S69" s="183" t="s">
        <v>103</v>
      </c>
      <c r="T69" s="196"/>
      <c r="U69" s="196"/>
      <c r="V69" s="196"/>
      <c r="W69" s="196">
        <f t="shared" ref="W69:AB69" si="70">(W68+W66-W67)</f>
        <v>518.90614304069777</v>
      </c>
      <c r="X69" s="196">
        <f t="shared" si="70"/>
        <v>557.84707810205521</v>
      </c>
      <c r="Y69" s="196">
        <f t="shared" si="70"/>
        <v>643.526532762491</v>
      </c>
      <c r="Z69" s="196">
        <f t="shared" si="70"/>
        <v>774.2874036770769</v>
      </c>
      <c r="AA69" s="196">
        <f t="shared" si="70"/>
        <v>779.56353806719687</v>
      </c>
      <c r="AB69" s="196">
        <f t="shared" si="70"/>
        <v>725.80096137056125</v>
      </c>
      <c r="AC69" s="196">
        <f>(AC68+AC66-AC67)</f>
        <v>779.60035866884789</v>
      </c>
      <c r="AD69" s="196">
        <f>(AD68+AD66-AD67)</f>
        <v>1290.7994594510164</v>
      </c>
      <c r="AE69" s="184">
        <f>AE66+AE68-AE67</f>
        <v>1083.7713510135134</v>
      </c>
      <c r="AF69" s="184">
        <f>AF66+AF68-AF67</f>
        <v>697.66789441110109</v>
      </c>
      <c r="AG69" s="184">
        <f>AG66+AG68-AG67</f>
        <v>516.15166293919731</v>
      </c>
      <c r="AH69" s="184">
        <f t="shared" ref="AH69" si="71">AH66+AH68-AH67</f>
        <v>419.20467138862523</v>
      </c>
      <c r="AI69" s="184" t="s">
        <v>150</v>
      </c>
    </row>
    <row r="70" spans="1:35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95"/>
      <c r="S70" s="183" t="s">
        <v>104</v>
      </c>
      <c r="T70" s="196">
        <f>T68+T66-T67</f>
        <v>348.60493158083284</v>
      </c>
      <c r="U70" s="196">
        <f>U68+U66-U67</f>
        <v>387.97780888233922</v>
      </c>
      <c r="V70" s="196">
        <f>V68+V66-V67</f>
        <v>454.60878873059494</v>
      </c>
      <c r="W70" s="196" t="e">
        <f t="shared" ref="W70:AH70" si="72">AVERAGE(V42:W42)/E4*365</f>
        <v>#REF!</v>
      </c>
      <c r="X70" s="196" t="e">
        <f t="shared" si="72"/>
        <v>#REF!</v>
      </c>
      <c r="Y70" s="196" t="e">
        <f t="shared" si="72"/>
        <v>#REF!</v>
      </c>
      <c r="Z70" s="196" t="e">
        <f t="shared" si="72"/>
        <v>#REF!</v>
      </c>
      <c r="AA70" s="196" t="e">
        <f t="shared" si="72"/>
        <v>#REF!</v>
      </c>
      <c r="AB70" s="196" t="e">
        <f t="shared" si="72"/>
        <v>#REF!</v>
      </c>
      <c r="AC70" s="196">
        <f t="shared" si="72"/>
        <v>543.67316911564103</v>
      </c>
      <c r="AD70" s="196">
        <f t="shared" si="72"/>
        <v>940.11756291986762</v>
      </c>
      <c r="AE70" s="184">
        <f t="shared" si="72"/>
        <v>767.54791557420037</v>
      </c>
      <c r="AF70" s="184">
        <f t="shared" si="72"/>
        <v>544.02054321990215</v>
      </c>
      <c r="AG70" s="184">
        <f t="shared" si="72"/>
        <v>434.67750715041927</v>
      </c>
      <c r="AH70" s="184">
        <f t="shared" si="72"/>
        <v>401.18362137077708</v>
      </c>
      <c r="AI70" s="184" t="s">
        <v>150</v>
      </c>
    </row>
    <row r="71" spans="1:35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95"/>
      <c r="S71" s="197" t="s">
        <v>105</v>
      </c>
      <c r="T71" s="190">
        <f t="shared" ref="T71:AH71" si="73">B20/T10</f>
        <v>0.15950303089568246</v>
      </c>
      <c r="U71" s="190">
        <f t="shared" si="73"/>
        <v>0.20758951176575788</v>
      </c>
      <c r="V71" s="190">
        <f t="shared" si="73"/>
        <v>0.16619658472686077</v>
      </c>
      <c r="W71" s="190">
        <f t="shared" si="73"/>
        <v>0.12714080639327557</v>
      </c>
      <c r="X71" s="190">
        <f t="shared" si="73"/>
        <v>0.2005109245350653</v>
      </c>
      <c r="Y71" s="190">
        <f t="shared" si="73"/>
        <v>0.12876400767608806</v>
      </c>
      <c r="Z71" s="190">
        <f t="shared" si="73"/>
        <v>0.12137430293049889</v>
      </c>
      <c r="AA71" s="190">
        <f t="shared" si="73"/>
        <v>0.16344772545889863</v>
      </c>
      <c r="AB71" s="190">
        <f t="shared" si="73"/>
        <v>0.12962587448038124</v>
      </c>
      <c r="AC71" s="190">
        <f t="shared" si="73"/>
        <v>0.1020425246944584</v>
      </c>
      <c r="AD71" s="190">
        <f t="shared" si="73"/>
        <v>0.10833047651696949</v>
      </c>
      <c r="AE71" s="190">
        <f t="shared" si="73"/>
        <v>0.10453664836938974</v>
      </c>
      <c r="AF71" s="190">
        <f t="shared" si="73"/>
        <v>9.8041096372175701E-2</v>
      </c>
      <c r="AG71" s="190">
        <f t="shared" si="73"/>
        <v>0.109533172672946</v>
      </c>
      <c r="AH71" s="190">
        <f t="shared" si="73"/>
        <v>0.12316842222359888</v>
      </c>
      <c r="AI71" s="184" t="s">
        <v>150</v>
      </c>
    </row>
    <row r="72" spans="1:35" ht="15.7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95"/>
      <c r="S72" s="230" t="s">
        <v>106</v>
      </c>
      <c r="T72" s="190">
        <f t="shared" ref="T72:AB72" si="74">T57/T55</f>
        <v>0</v>
      </c>
      <c r="U72" s="190">
        <f t="shared" si="74"/>
        <v>0</v>
      </c>
      <c r="V72" s="190">
        <f t="shared" si="74"/>
        <v>0</v>
      </c>
      <c r="W72" s="190">
        <f t="shared" si="74"/>
        <v>0</v>
      </c>
      <c r="X72" s="190">
        <f t="shared" si="74"/>
        <v>6.9164265129682989E-2</v>
      </c>
      <c r="Y72" s="190">
        <f t="shared" si="74"/>
        <v>7.2992700729927001E-2</v>
      </c>
      <c r="Z72" s="190">
        <f t="shared" si="74"/>
        <v>6.1946902654867249E-2</v>
      </c>
      <c r="AA72" s="190">
        <f t="shared" si="74"/>
        <v>5.920550038197097E-2</v>
      </c>
      <c r="AB72" s="190">
        <f t="shared" si="74"/>
        <v>5.4062909567496722E-2</v>
      </c>
      <c r="AC72" s="190">
        <f>AC57/AC55</f>
        <v>0.14878268710550044</v>
      </c>
      <c r="AD72" s="190">
        <f>AD57/AD55</f>
        <v>0</v>
      </c>
      <c r="AE72" s="190">
        <f>AE57/AE55</f>
        <v>0</v>
      </c>
      <c r="AF72" s="190">
        <f t="shared" ref="AF72:AG72" si="75">AF57/AF55</f>
        <v>0</v>
      </c>
      <c r="AG72" s="190">
        <f t="shared" si="75"/>
        <v>0</v>
      </c>
      <c r="AH72" s="190">
        <f>AH57/AH55</f>
        <v>0</v>
      </c>
      <c r="AI72" s="190" t="s">
        <v>150</v>
      </c>
    </row>
    <row r="73" spans="1:3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98"/>
      <c r="M73" s="198"/>
      <c r="N73" s="198"/>
      <c r="O73" s="198"/>
      <c r="P73" s="198"/>
      <c r="Q73" s="198"/>
      <c r="R73" s="195"/>
      <c r="S73" s="163"/>
      <c r="T73" s="163"/>
      <c r="U73" s="163"/>
      <c r="V73" s="163"/>
      <c r="W73" s="163"/>
      <c r="X73" s="164"/>
      <c r="Y73" s="164"/>
      <c r="Z73" s="164"/>
      <c r="AA73" s="139"/>
      <c r="AB73" s="139"/>
      <c r="AC73" s="139"/>
      <c r="AD73" s="139"/>
      <c r="AE73" s="139"/>
      <c r="AF73" s="139"/>
      <c r="AG73" s="139"/>
      <c r="AH73" s="139"/>
    </row>
    <row r="74" spans="1:35" ht="15">
      <c r="R74" s="67"/>
      <c r="S74" s="222"/>
      <c r="T74" s="163"/>
      <c r="U74" s="163"/>
      <c r="V74" s="163"/>
      <c r="W74" s="139"/>
      <c r="X74" s="139"/>
      <c r="Y74" s="199"/>
      <c r="Z74" s="139"/>
      <c r="AA74" s="163"/>
      <c r="AB74" s="139"/>
      <c r="AC74" s="139"/>
      <c r="AD74" s="139"/>
      <c r="AE74" s="139"/>
      <c r="AF74" s="139"/>
      <c r="AG74" s="139"/>
      <c r="AH74" s="139"/>
    </row>
    <row r="75" spans="1:35">
      <c r="R75" s="67"/>
      <c r="W75" s="68"/>
      <c r="X75" s="68"/>
      <c r="Y75" s="68"/>
      <c r="Z75" s="68"/>
    </row>
    <row r="76" spans="1:35">
      <c r="R76" s="67"/>
      <c r="W76" s="66"/>
      <c r="X76" s="66"/>
    </row>
    <row r="77" spans="1:35">
      <c r="R77" s="67"/>
    </row>
    <row r="78" spans="1:35">
      <c r="R78" s="67"/>
    </row>
    <row r="79" spans="1:35">
      <c r="R79" s="69"/>
    </row>
    <row r="80" spans="1:35">
      <c r="R80" s="69"/>
    </row>
    <row r="81" spans="18:18">
      <c r="R81" s="70"/>
    </row>
    <row r="82" spans="18:18">
      <c r="R82" s="70"/>
    </row>
    <row r="83" spans="18:18">
      <c r="R83" s="70"/>
    </row>
  </sheetData>
  <mergeCells count="5">
    <mergeCell ref="A2:P2"/>
    <mergeCell ref="A45:Q45"/>
    <mergeCell ref="A1:AI1"/>
    <mergeCell ref="S2:AI2"/>
    <mergeCell ref="S52:AI52"/>
  </mergeCells>
  <phoneticPr fontId="17" type="noConversion"/>
  <pageMargins left="0.12051282051282051" right="0.7" top="7.9487179487179482E-2" bottom="0.75" header="0.3" footer="0.3"/>
  <pageSetup scale="32" orientation="portrait" horizontalDpi="1200" verticalDpi="1200" r:id="rId1"/>
  <ignoredErrors>
    <ignoredError sqref="AC70:AF70 AB66:AF66 AB67:AF67 AB68:AF68 AB69:AF69 AG66:AH68 AB19 AC49:AG49" formulaRange="1"/>
    <ignoredError sqref="AB70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4" workbookViewId="0">
      <selection activeCell="F54" sqref="F54"/>
    </sheetView>
  </sheetViews>
  <sheetFormatPr defaultRowHeight="15"/>
  <cols>
    <col min="1" max="1" width="21.7109375" customWidth="1"/>
    <col min="2" max="2" width="10.5703125" hidden="1" customWidth="1"/>
    <col min="3" max="3" width="13.7109375" customWidth="1"/>
    <col min="4" max="4" width="13.7109375" hidden="1" customWidth="1"/>
    <col min="5" max="5" width="13.7109375" customWidth="1"/>
    <col min="6" max="6" width="15.7109375" customWidth="1"/>
    <col min="7" max="7" width="13.7109375" hidden="1" customWidth="1"/>
    <col min="8" max="9" width="13.7109375" customWidth="1"/>
    <col min="10" max="10" width="13.7109375" hidden="1" customWidth="1"/>
    <col min="11" max="12" width="13.7109375" customWidth="1"/>
    <col min="13" max="13" width="13.7109375" hidden="1" customWidth="1"/>
    <col min="14" max="16" width="13.7109375" customWidth="1"/>
  </cols>
  <sheetData>
    <row r="1" spans="1:26" ht="18.75">
      <c r="A1" s="247" t="s">
        <v>110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9"/>
      <c r="P1" s="77"/>
    </row>
    <row r="2" spans="1:26" ht="18.75">
      <c r="A2" s="2"/>
      <c r="B2" s="250" t="s">
        <v>111</v>
      </c>
      <c r="C2" s="250"/>
      <c r="D2" s="250" t="s">
        <v>112</v>
      </c>
      <c r="E2" s="250"/>
      <c r="F2" s="250"/>
      <c r="G2" s="250" t="s">
        <v>113</v>
      </c>
      <c r="H2" s="250"/>
      <c r="I2" s="250"/>
      <c r="J2" s="250" t="s">
        <v>114</v>
      </c>
      <c r="K2" s="250"/>
      <c r="L2" s="250"/>
      <c r="M2" s="250" t="s">
        <v>115</v>
      </c>
      <c r="N2" s="251"/>
      <c r="O2" s="252"/>
      <c r="P2" s="78"/>
      <c r="V2" t="s">
        <v>111</v>
      </c>
      <c r="W2" t="s">
        <v>112</v>
      </c>
      <c r="X2" t="s">
        <v>113</v>
      </c>
      <c r="Y2" t="s">
        <v>114</v>
      </c>
      <c r="Z2" t="s">
        <v>115</v>
      </c>
    </row>
    <row r="3" spans="1:26">
      <c r="A3" s="241" t="s">
        <v>116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3"/>
      <c r="P3" s="22"/>
      <c r="U3">
        <v>2017</v>
      </c>
      <c r="V3">
        <f>'Summary Sheet'!H4</f>
        <v>4255.3</v>
      </c>
      <c r="W3">
        <v>13997</v>
      </c>
      <c r="X3">
        <v>64341.3</v>
      </c>
      <c r="Y3">
        <v>2185</v>
      </c>
      <c r="Z3">
        <v>4211.75</v>
      </c>
    </row>
    <row r="4" spans="1:26">
      <c r="A4" s="3" t="s">
        <v>1</v>
      </c>
      <c r="B4" s="4" t="s">
        <v>11</v>
      </c>
      <c r="C4" s="4" t="s">
        <v>107</v>
      </c>
      <c r="D4" s="4" t="s">
        <v>11</v>
      </c>
      <c r="E4" s="4" t="s">
        <v>153</v>
      </c>
      <c r="F4" s="4" t="s">
        <v>107</v>
      </c>
      <c r="G4" s="4" t="s">
        <v>107</v>
      </c>
      <c r="H4" s="4" t="s">
        <v>153</v>
      </c>
      <c r="I4" s="4" t="s">
        <v>107</v>
      </c>
      <c r="J4" s="4" t="s">
        <v>107</v>
      </c>
      <c r="K4" s="4" t="s">
        <v>153</v>
      </c>
      <c r="L4" s="4" t="s">
        <v>107</v>
      </c>
      <c r="M4" s="4" t="s">
        <v>107</v>
      </c>
      <c r="N4" s="4" t="s">
        <v>153</v>
      </c>
      <c r="O4" s="4" t="s">
        <v>107</v>
      </c>
      <c r="P4" s="4" t="s">
        <v>153</v>
      </c>
      <c r="U4" t="s">
        <v>148</v>
      </c>
      <c r="V4" s="64">
        <f>(C5/V3)^(1/3)-1</f>
        <v>6.4392719969703194E-2</v>
      </c>
      <c r="W4" s="64">
        <f>(F5/W3)^(1/3)-1</f>
        <v>-0.16543789824711752</v>
      </c>
      <c r="X4" s="64">
        <f>(I5/X3)^(1/3)-1</f>
        <v>8.109637670543357E-2</v>
      </c>
      <c r="Y4" s="64">
        <f>(L5/Y3)^(1/3)-1</f>
        <v>0.33636767616372465</v>
      </c>
      <c r="Z4" s="64">
        <f>(O5/Z3)^(1/3)-1</f>
        <v>0.10777482636137048</v>
      </c>
    </row>
    <row r="5" spans="1:26">
      <c r="A5" s="5" t="s">
        <v>117</v>
      </c>
      <c r="B5" s="6">
        <v>4891.3</v>
      </c>
      <c r="C5" s="62">
        <f>'Summary Sheet'!K5</f>
        <v>5131.3999999999996</v>
      </c>
      <c r="D5">
        <v>10100.1</v>
      </c>
      <c r="E5" s="62">
        <f>'Summary Sheet'!L5</f>
        <v>3111.1</v>
      </c>
      <c r="F5" s="7">
        <v>8136</v>
      </c>
      <c r="G5">
        <v>71260.3</v>
      </c>
      <c r="H5">
        <f>416.8+526.5</f>
        <v>943.3</v>
      </c>
      <c r="I5" s="7">
        <f>84135-2836.4</f>
        <v>81298.600000000006</v>
      </c>
      <c r="J5">
        <v>3667.7860000000001</v>
      </c>
      <c r="K5">
        <v>30347.3</v>
      </c>
      <c r="L5" s="7">
        <v>5214.7</v>
      </c>
      <c r="M5">
        <v>4323.4440000000004</v>
      </c>
      <c r="N5">
        <v>1846</v>
      </c>
      <c r="O5" s="81">
        <v>5725.5479999999998</v>
      </c>
      <c r="P5" s="7">
        <v>1133</v>
      </c>
      <c r="U5" t="s">
        <v>151</v>
      </c>
    </row>
    <row r="6" spans="1:26">
      <c r="A6" s="5" t="s">
        <v>118</v>
      </c>
      <c r="B6" s="9">
        <v>0.14787543420923721</v>
      </c>
      <c r="C6" s="9">
        <f>'Summary Sheet'!K7</f>
        <v>6.4392719969703194E-2</v>
      </c>
      <c r="D6" s="10">
        <v>-0.1535</v>
      </c>
      <c r="E6" s="10"/>
      <c r="F6" s="11">
        <f>W4</f>
        <v>-0.16543789824711752</v>
      </c>
      <c r="G6" s="10">
        <v>4.7800000000000002E-2</v>
      </c>
      <c r="H6" s="10"/>
      <c r="I6" s="11">
        <f>X4</f>
        <v>8.109637670543357E-2</v>
      </c>
      <c r="J6" s="11">
        <f>Z4</f>
        <v>0.10777482636137048</v>
      </c>
      <c r="K6" s="11"/>
      <c r="L6" s="11">
        <f>Y4</f>
        <v>0.33636767616372465</v>
      </c>
      <c r="M6" s="11">
        <f>AB4</f>
        <v>0</v>
      </c>
      <c r="N6" s="11"/>
      <c r="O6" s="82">
        <f>Z4</f>
        <v>0.10777482636137048</v>
      </c>
      <c r="P6" s="11"/>
    </row>
    <row r="7" spans="1:26">
      <c r="A7" s="3" t="s">
        <v>28</v>
      </c>
      <c r="B7" s="13">
        <v>1425.9</v>
      </c>
      <c r="C7" s="13">
        <f>'Summary Sheet'!K13</f>
        <v>768.09999999999945</v>
      </c>
      <c r="D7">
        <f>2873.5+805.3+102.8</f>
        <v>3781.6000000000004</v>
      </c>
      <c r="E7" s="14">
        <f>'Summary Sheet'!L13</f>
        <v>125.59999999999991</v>
      </c>
      <c r="F7" s="14">
        <f>-991.7</f>
        <v>-991.7</v>
      </c>
      <c r="G7">
        <f>21828.7+1447.8+1820.8</f>
        <v>25097.3</v>
      </c>
      <c r="H7">
        <f>-214.4-266.3</f>
        <v>-480.70000000000005</v>
      </c>
      <c r="I7" s="14">
        <f>13749.4</f>
        <v>13749.4</v>
      </c>
      <c r="J7">
        <f>389.239+33.669+41.521</f>
        <v>464.42899999999997</v>
      </c>
      <c r="K7">
        <v>4005</v>
      </c>
      <c r="L7" s="14">
        <v>605</v>
      </c>
      <c r="M7">
        <f>-595.64+0.5+177.062</f>
        <v>-418.07799999999997</v>
      </c>
      <c r="N7">
        <v>557</v>
      </c>
      <c r="O7" s="83">
        <v>107</v>
      </c>
      <c r="P7" s="14">
        <f>-387</f>
        <v>-387</v>
      </c>
      <c r="U7" t="s">
        <v>149</v>
      </c>
      <c r="W7">
        <v>2432.9</v>
      </c>
      <c r="X7">
        <v>2220.4</v>
      </c>
      <c r="Y7">
        <v>62</v>
      </c>
      <c r="Z7">
        <v>-297.41000000000003</v>
      </c>
    </row>
    <row r="8" spans="1:26">
      <c r="A8" s="5" t="s">
        <v>118</v>
      </c>
      <c r="B8" s="9">
        <v>0.17970679843276116</v>
      </c>
      <c r="C8" s="9">
        <f>'Summary Sheet'!K17</f>
        <v>-0.15625092458031931</v>
      </c>
      <c r="D8" s="10">
        <v>4.3E-3</v>
      </c>
      <c r="E8" s="10"/>
      <c r="F8" s="11">
        <v>-0.13300000000000001</v>
      </c>
      <c r="G8" s="10">
        <v>7.8600000000000003E-2</v>
      </c>
      <c r="H8" s="10"/>
      <c r="I8" s="11">
        <v>0.2245761416819323</v>
      </c>
      <c r="J8" s="10">
        <v>0.17680000000000001</v>
      </c>
      <c r="K8" s="10"/>
      <c r="L8" s="11">
        <v>0.10780000000000001</v>
      </c>
      <c r="M8" s="10">
        <v>9.1700000000000004E-2</v>
      </c>
      <c r="N8" s="71"/>
      <c r="O8" s="82">
        <v>0.39810000000000001</v>
      </c>
      <c r="P8" s="11"/>
      <c r="W8" s="1">
        <f>(F10/W7)^(1/3)-1</f>
        <v>-2.7925020315841182</v>
      </c>
      <c r="X8" s="1">
        <f>(I10/X7)^(1/3)-1</f>
        <v>0.33187335188309319</v>
      </c>
      <c r="Y8" s="1">
        <f>(L10/Y7)^(1/3)-1</f>
        <v>0.91439928095628931</v>
      </c>
      <c r="Z8" s="1">
        <f>(O10/Z7)^(1/3)-1</f>
        <v>0.25622746660644968</v>
      </c>
    </row>
    <row r="9" spans="1:26">
      <c r="A9" s="3" t="s">
        <v>119</v>
      </c>
      <c r="B9" s="15">
        <f>B7/B5</f>
        <v>0.29151759246008219</v>
      </c>
      <c r="C9" s="15">
        <f>C7/C5</f>
        <v>0.14968624546907267</v>
      </c>
      <c r="D9" s="16">
        <f>D7/D5</f>
        <v>0.37441213453332145</v>
      </c>
      <c r="E9" s="79" t="s">
        <v>150</v>
      </c>
      <c r="F9" s="16">
        <f>F7/F5</f>
        <v>-0.12189036381514258</v>
      </c>
      <c r="G9" s="16">
        <f>G7/G5</f>
        <v>0.3521918936630915</v>
      </c>
      <c r="H9" s="79" t="s">
        <v>150</v>
      </c>
      <c r="I9" s="16">
        <f t="shared" ref="I9:O9" si="0">I7/I5</f>
        <v>0.16912222350692385</v>
      </c>
      <c r="J9" s="16">
        <f t="shared" si="0"/>
        <v>0.12662379975276639</v>
      </c>
      <c r="K9" s="16">
        <f t="shared" si="0"/>
        <v>0.13197220181037522</v>
      </c>
      <c r="L9" s="16">
        <f t="shared" si="0"/>
        <v>0.11601817937752891</v>
      </c>
      <c r="M9" s="16">
        <f t="shared" si="0"/>
        <v>-9.6700223247947692E-2</v>
      </c>
      <c r="N9" s="16">
        <f t="shared" si="0"/>
        <v>0.3017334777898158</v>
      </c>
      <c r="O9" s="72">
        <f t="shared" si="0"/>
        <v>1.8688167490692596E-2</v>
      </c>
      <c r="P9" s="11" t="s">
        <v>150</v>
      </c>
    </row>
    <row r="10" spans="1:26">
      <c r="A10" s="3" t="s">
        <v>47</v>
      </c>
      <c r="B10" s="13">
        <v>711.50000000000023</v>
      </c>
      <c r="C10" s="13">
        <f>'Summary Sheet'!K29</f>
        <v>301.39999999999941</v>
      </c>
      <c r="D10">
        <v>2293.4</v>
      </c>
      <c r="E10">
        <f>'Summary Sheet'!L29</f>
        <v>-214.80000000000004</v>
      </c>
      <c r="F10" s="14">
        <f>-14012.1</f>
        <v>-14012.1</v>
      </c>
      <c r="G10">
        <v>14777.5</v>
      </c>
      <c r="H10">
        <f>-285-0.237</f>
        <v>-285.23700000000002</v>
      </c>
      <c r="I10" s="14">
        <v>5245.9</v>
      </c>
      <c r="J10">
        <v>283.017</v>
      </c>
      <c r="K10">
        <v>1227</v>
      </c>
      <c r="L10" s="14">
        <v>435</v>
      </c>
      <c r="M10">
        <v>-463.33199999999999</v>
      </c>
      <c r="N10">
        <v>447</v>
      </c>
      <c r="O10" s="83">
        <v>-589.60400000000004</v>
      </c>
      <c r="P10" s="14">
        <f>-474</f>
        <v>-474</v>
      </c>
      <c r="T10" s="8">
        <f t="shared" ref="T10:T57" si="1">MAX(C5,F5,I5,L5,O5)</f>
        <v>81298.600000000006</v>
      </c>
      <c r="U10" s="8">
        <f t="shared" ref="U10:U57" si="2">MIN(C5,F5,I5,L5,O5)</f>
        <v>5131.3999999999996</v>
      </c>
    </row>
    <row r="11" spans="1:26">
      <c r="A11" s="5" t="s">
        <v>118</v>
      </c>
      <c r="B11" s="9">
        <v>0.20250092829340649</v>
      </c>
      <c r="C11" s="9">
        <f>'Summary Sheet'!K34</f>
        <v>-0.21250247735231853</v>
      </c>
      <c r="D11" s="10">
        <v>-1.32E-2</v>
      </c>
      <c r="E11" s="10"/>
      <c r="F11" s="11" t="s">
        <v>150</v>
      </c>
      <c r="G11" s="10">
        <v>0.21540000000000001</v>
      </c>
      <c r="H11" s="10"/>
      <c r="I11" s="11">
        <f>X8</f>
        <v>0.33187335188309319</v>
      </c>
      <c r="J11" s="17">
        <v>0.59350000000000003</v>
      </c>
      <c r="K11" s="17"/>
      <c r="L11" s="11">
        <f>Y8</f>
        <v>0.91439928095628931</v>
      </c>
      <c r="M11" s="10">
        <v>1.3190999999999999</v>
      </c>
      <c r="N11" s="71"/>
      <c r="O11" s="82" t="s">
        <v>150</v>
      </c>
      <c r="P11" s="11"/>
      <c r="T11" s="1">
        <f t="shared" si="1"/>
        <v>0.33636767616372465</v>
      </c>
      <c r="U11" s="1">
        <f t="shared" si="2"/>
        <v>-0.16543789824711752</v>
      </c>
    </row>
    <row r="12" spans="1:26">
      <c r="A12" s="3" t="s">
        <v>55</v>
      </c>
      <c r="B12" s="15">
        <f>B10/B5</f>
        <v>0.14546235152209028</v>
      </c>
      <c r="C12" s="15">
        <f>C10/C5</f>
        <v>5.8736407218302887E-2</v>
      </c>
      <c r="D12" s="16">
        <f t="shared" ref="D12:O12" si="3">D10/D5</f>
        <v>0.22706705874199265</v>
      </c>
      <c r="E12" s="79" t="s">
        <v>150</v>
      </c>
      <c r="F12" s="16">
        <f t="shared" si="3"/>
        <v>-1.7222345132743364</v>
      </c>
      <c r="G12" s="16">
        <f t="shared" si="3"/>
        <v>0.20737353056330102</v>
      </c>
      <c r="H12" s="79" t="s">
        <v>150</v>
      </c>
      <c r="I12" s="16">
        <f t="shared" si="3"/>
        <v>6.4526326406604773E-2</v>
      </c>
      <c r="J12" s="16">
        <f t="shared" si="3"/>
        <v>7.7162898816888439E-2</v>
      </c>
      <c r="K12" s="16">
        <f t="shared" si="3"/>
        <v>4.0431932989096232E-2</v>
      </c>
      <c r="L12" s="16">
        <f t="shared" si="3"/>
        <v>8.3418029800372023E-2</v>
      </c>
      <c r="M12" s="16">
        <f t="shared" si="3"/>
        <v>-0.10716734159156449</v>
      </c>
      <c r="N12" s="16">
        <f t="shared" si="3"/>
        <v>0.24214517876489708</v>
      </c>
      <c r="O12" s="72">
        <f t="shared" si="3"/>
        <v>-0.10297774116992819</v>
      </c>
      <c r="P12" s="11" t="s">
        <v>150</v>
      </c>
      <c r="T12" s="8">
        <f t="shared" si="1"/>
        <v>13749.4</v>
      </c>
      <c r="U12" s="8">
        <f t="shared" si="2"/>
        <v>-991.7</v>
      </c>
    </row>
    <row r="13" spans="1:26">
      <c r="A13" s="5" t="s">
        <v>60</v>
      </c>
      <c r="B13" s="18">
        <v>26.18</v>
      </c>
      <c r="C13" s="63">
        <f>'Summary Sheet'!K37</f>
        <v>11.09</v>
      </c>
      <c r="D13" s="19">
        <v>24.96</v>
      </c>
      <c r="E13" s="19">
        <f>-8.04</f>
        <v>-8.0399999999999991</v>
      </c>
      <c r="F13" s="20">
        <v>-147.06</v>
      </c>
      <c r="G13" s="19">
        <v>15.4</v>
      </c>
      <c r="H13" s="19">
        <f>-2.98-0.25</f>
        <v>-3.23</v>
      </c>
      <c r="I13" s="20">
        <v>5.48</v>
      </c>
      <c r="J13" s="19">
        <v>16.239999999999998</v>
      </c>
      <c r="K13" s="19">
        <v>1.3</v>
      </c>
      <c r="L13" s="20">
        <v>25.26</v>
      </c>
      <c r="M13" s="19">
        <v>-4.95</v>
      </c>
      <c r="N13" s="73">
        <v>25.41</v>
      </c>
      <c r="O13" s="84">
        <v>-5.81</v>
      </c>
      <c r="P13" s="20">
        <f>-4.69</f>
        <v>-4.6900000000000004</v>
      </c>
      <c r="T13" s="1">
        <f t="shared" si="1"/>
        <v>0.39810000000000001</v>
      </c>
      <c r="U13" s="1">
        <f t="shared" si="2"/>
        <v>-0.15625092458031931</v>
      </c>
    </row>
    <row r="14" spans="1:26">
      <c r="A14" s="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73"/>
      <c r="O14" s="73"/>
      <c r="P14" s="19"/>
      <c r="T14" s="1">
        <f t="shared" si="1"/>
        <v>0.16912222350692385</v>
      </c>
      <c r="U14" s="1">
        <f t="shared" si="2"/>
        <v>-0.12189036381514258</v>
      </c>
    </row>
    <row r="15" spans="1:26">
      <c r="A15" s="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73"/>
      <c r="O15" s="73"/>
      <c r="P15" s="19"/>
      <c r="T15" s="8">
        <f t="shared" si="1"/>
        <v>5245.9</v>
      </c>
      <c r="U15" s="8">
        <f t="shared" si="2"/>
        <v>-14012.1</v>
      </c>
    </row>
    <row r="16" spans="1:26">
      <c r="A16" s="244" t="s">
        <v>120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1"/>
      <c r="L16" s="21"/>
      <c r="M16" s="22"/>
      <c r="N16" s="22"/>
      <c r="O16" s="22"/>
      <c r="P16" s="21"/>
      <c r="T16" s="1">
        <f t="shared" si="1"/>
        <v>0.91439928095628931</v>
      </c>
      <c r="U16" s="1">
        <f t="shared" si="2"/>
        <v>-0.21250247735231853</v>
      </c>
    </row>
    <row r="17" spans="1:21">
      <c r="A17" s="3" t="s">
        <v>121</v>
      </c>
      <c r="B17" s="23">
        <v>4934.3</v>
      </c>
      <c r="C17" s="23">
        <f>'Summary Sheet'!AC6</f>
        <v>5969.7</v>
      </c>
      <c r="D17" s="24">
        <v>2243</v>
      </c>
      <c r="E17" s="25">
        <f>'Summary Sheet'!AD6</f>
        <v>5763</v>
      </c>
      <c r="F17" s="25">
        <v>12461.4</v>
      </c>
      <c r="G17" s="24">
        <v>7561.7</v>
      </c>
      <c r="H17" s="24">
        <v>11938</v>
      </c>
      <c r="I17" s="25">
        <v>93439.2</v>
      </c>
      <c r="J17" s="24">
        <v>381.71</v>
      </c>
      <c r="K17" s="24">
        <v>94480.5</v>
      </c>
      <c r="L17" s="25">
        <v>3987.9</v>
      </c>
      <c r="M17" s="24">
        <v>853.53</v>
      </c>
      <c r="N17" s="74">
        <v>4682.6000000000004</v>
      </c>
      <c r="O17" s="85">
        <v>6921.4790000000003</v>
      </c>
      <c r="P17" s="25">
        <v>6460.3239999999996</v>
      </c>
      <c r="T17" s="1">
        <f t="shared" si="1"/>
        <v>8.3418029800372023E-2</v>
      </c>
      <c r="U17" s="1">
        <f t="shared" si="2"/>
        <v>-1.7222345132743364</v>
      </c>
    </row>
    <row r="18" spans="1:21">
      <c r="A18" s="3" t="s">
        <v>122</v>
      </c>
      <c r="B18" s="23">
        <f>B19+B20</f>
        <v>1879.5</v>
      </c>
      <c r="C18" s="23">
        <f>C19+C20</f>
        <v>2389.1999999999998</v>
      </c>
      <c r="D18" s="24">
        <f t="shared" ref="D18:J18" si="4">D19+D20</f>
        <v>617.6</v>
      </c>
      <c r="E18" s="23">
        <f>E19+E20</f>
        <v>2625.2999999999997</v>
      </c>
      <c r="F18" s="25">
        <f>F19+F20</f>
        <v>4624.3999999999996</v>
      </c>
      <c r="G18" s="24">
        <f t="shared" si="4"/>
        <v>1145.2</v>
      </c>
      <c r="H18" s="25">
        <f>H19+H20</f>
        <v>4806.5</v>
      </c>
      <c r="I18" s="25">
        <f>I19+I20</f>
        <v>9283.9</v>
      </c>
      <c r="J18" s="24">
        <f t="shared" si="4"/>
        <v>15.87</v>
      </c>
      <c r="K18" s="25">
        <f>K19+K20</f>
        <v>3630.5</v>
      </c>
      <c r="L18" s="25">
        <f>L19+L20</f>
        <v>92.3</v>
      </c>
      <c r="M18" s="24">
        <f>M19+M20</f>
        <v>0.08</v>
      </c>
      <c r="N18" s="94">
        <f>N19+N20</f>
        <v>0</v>
      </c>
      <c r="O18" s="85">
        <f>O19+O20</f>
        <v>0</v>
      </c>
      <c r="P18" s="94"/>
      <c r="T18" s="8">
        <f t="shared" si="1"/>
        <v>25.26</v>
      </c>
      <c r="U18" s="8">
        <f t="shared" si="2"/>
        <v>-147.06</v>
      </c>
    </row>
    <row r="19" spans="1:21">
      <c r="A19" s="26" t="s">
        <v>123</v>
      </c>
      <c r="B19" s="23">
        <v>21.3</v>
      </c>
      <c r="C19" s="23">
        <f>'Summary Sheet'!AC8</f>
        <v>238.6</v>
      </c>
      <c r="D19" s="24">
        <f>87.12+62.4</f>
        <v>149.52000000000001</v>
      </c>
      <c r="E19" s="24">
        <f>'Summary Sheet'!AD8</f>
        <v>174.1</v>
      </c>
      <c r="F19" s="25">
        <v>6.7</v>
      </c>
      <c r="G19" s="24">
        <f>0.9+1144.3</f>
        <v>1145.2</v>
      </c>
      <c r="H19" s="24">
        <f>1.5</f>
        <v>1.5</v>
      </c>
      <c r="I19" s="25">
        <f>2975+526</f>
        <v>3501</v>
      </c>
      <c r="J19" s="24">
        <v>0</v>
      </c>
      <c r="K19" s="24">
        <v>3630.5</v>
      </c>
      <c r="L19" s="25">
        <v>0</v>
      </c>
      <c r="M19" s="24">
        <f>0.08</f>
        <v>0.08</v>
      </c>
      <c r="N19" s="74">
        <v>0</v>
      </c>
      <c r="O19" s="85">
        <v>0</v>
      </c>
      <c r="P19" s="25"/>
      <c r="T19" s="8">
        <f t="shared" si="1"/>
        <v>0</v>
      </c>
      <c r="U19" s="8">
        <f t="shared" si="2"/>
        <v>0</v>
      </c>
    </row>
    <row r="20" spans="1:21">
      <c r="A20" s="26" t="s">
        <v>124</v>
      </c>
      <c r="B20" s="23">
        <v>1858.2</v>
      </c>
      <c r="C20" s="23">
        <f>'Summary Sheet'!AC9</f>
        <v>2150.6</v>
      </c>
      <c r="D20" s="24">
        <v>468.08</v>
      </c>
      <c r="E20" s="24">
        <f>'Summary Sheet'!AD9</f>
        <v>2451.1999999999998</v>
      </c>
      <c r="F20" s="25">
        <f>4617.7</f>
        <v>4617.7</v>
      </c>
      <c r="G20" s="24">
        <v>0</v>
      </c>
      <c r="H20" s="24">
        <f>4805</f>
        <v>4805</v>
      </c>
      <c r="I20" s="25">
        <f>2975+2807.9</f>
        <v>5782.9</v>
      </c>
      <c r="J20" s="24">
        <v>15.87</v>
      </c>
      <c r="K20" s="24"/>
      <c r="L20" s="25">
        <v>92.3</v>
      </c>
      <c r="M20" s="24">
        <v>0</v>
      </c>
      <c r="N20" s="74">
        <v>0</v>
      </c>
      <c r="O20" s="85">
        <v>0</v>
      </c>
      <c r="P20" s="25"/>
      <c r="T20" s="8">
        <f t="shared" si="1"/>
        <v>0</v>
      </c>
      <c r="U20" s="8">
        <f t="shared" si="2"/>
        <v>0</v>
      </c>
    </row>
    <row r="21" spans="1:21">
      <c r="A21" s="5" t="s">
        <v>146</v>
      </c>
      <c r="B21" s="19"/>
      <c r="C21" s="19"/>
      <c r="D21" s="19"/>
      <c r="E21" s="19"/>
      <c r="F21" s="19">
        <v>95629023</v>
      </c>
      <c r="G21" s="19"/>
      <c r="H21" s="19">
        <v>95629023</v>
      </c>
      <c r="I21" s="19">
        <v>960504475</v>
      </c>
      <c r="J21" s="19"/>
      <c r="K21" s="19">
        <v>960504475</v>
      </c>
      <c r="L21" s="19">
        <v>17426012</v>
      </c>
      <c r="M21" s="19"/>
      <c r="N21" s="19">
        <v>17426012</v>
      </c>
      <c r="O21" s="73">
        <v>101130443</v>
      </c>
      <c r="P21" s="19">
        <v>101130443</v>
      </c>
      <c r="T21" s="8">
        <f t="shared" si="1"/>
        <v>0</v>
      </c>
      <c r="U21" s="8">
        <f t="shared" si="2"/>
        <v>0</v>
      </c>
    </row>
    <row r="22" spans="1:21">
      <c r="A22" s="5" t="s">
        <v>147</v>
      </c>
      <c r="B22" s="19"/>
      <c r="C22" s="19"/>
      <c r="D22" s="19"/>
      <c r="E22" s="96">
        <f>7.7</f>
        <v>7.7</v>
      </c>
      <c r="F22" s="19">
        <v>110.7</v>
      </c>
      <c r="G22" s="19"/>
      <c r="H22" s="19">
        <f>281.8</f>
        <v>281.8</v>
      </c>
      <c r="I22" s="19">
        <v>5529</v>
      </c>
      <c r="J22" s="19"/>
      <c r="K22" s="19">
        <v>5433</v>
      </c>
      <c r="L22" s="19">
        <v>70.5</v>
      </c>
      <c r="M22" s="19"/>
      <c r="N22" s="73">
        <v>126.2</v>
      </c>
      <c r="O22" s="73">
        <v>198.6</v>
      </c>
      <c r="P22" s="95">
        <v>1603.3309999999999</v>
      </c>
      <c r="T22" s="8">
        <f t="shared" si="1"/>
        <v>93439.2</v>
      </c>
      <c r="U22" s="8">
        <f t="shared" si="2"/>
        <v>3987.9</v>
      </c>
    </row>
    <row r="23" spans="1:21">
      <c r="A23" s="244" t="s">
        <v>66</v>
      </c>
      <c r="B23" s="245"/>
      <c r="C23" s="245"/>
      <c r="D23" s="246"/>
      <c r="E23" s="246"/>
      <c r="F23" s="246"/>
      <c r="G23" s="246"/>
      <c r="H23" s="246"/>
      <c r="I23" s="246"/>
      <c r="J23" s="246"/>
      <c r="K23" s="27"/>
      <c r="L23" s="27"/>
      <c r="M23" s="22"/>
      <c r="N23" s="22"/>
      <c r="O23" s="22"/>
      <c r="P23" s="21"/>
      <c r="T23" s="8">
        <f t="shared" si="1"/>
        <v>9283.9</v>
      </c>
      <c r="U23" s="8">
        <f t="shared" si="2"/>
        <v>0</v>
      </c>
    </row>
    <row r="24" spans="1:21">
      <c r="A24" s="5" t="s">
        <v>125</v>
      </c>
      <c r="B24" s="23">
        <v>1325.107</v>
      </c>
      <c r="C24" s="25">
        <f>'Summary Sheet'!K54</f>
        <v>-75.459999999999994</v>
      </c>
      <c r="D24" s="28">
        <v>2352.7000000000003</v>
      </c>
      <c r="E24" s="93">
        <f>'Summary Sheet'!L54</f>
        <v>101.5</v>
      </c>
      <c r="F24" s="28">
        <v>508.3</v>
      </c>
      <c r="G24" s="28">
        <v>5544</v>
      </c>
      <c r="H24" s="28">
        <v>699.6</v>
      </c>
      <c r="I24" s="28">
        <v>2499.1999999999998</v>
      </c>
      <c r="J24" s="28">
        <v>-186.1</v>
      </c>
      <c r="K24" s="94">
        <f>5560.9</f>
        <v>5560.9</v>
      </c>
      <c r="L24" s="28">
        <v>795.2</v>
      </c>
      <c r="M24" s="28">
        <v>-1037.6000000000001</v>
      </c>
      <c r="N24" s="75">
        <v>939.4</v>
      </c>
      <c r="O24" s="74">
        <v>-1339.492</v>
      </c>
      <c r="P24" s="24">
        <v>504.58199999999999</v>
      </c>
      <c r="T24" s="8">
        <f t="shared" si="1"/>
        <v>3501</v>
      </c>
      <c r="U24" s="8">
        <f t="shared" si="2"/>
        <v>0</v>
      </c>
    </row>
    <row r="25" spans="1:21">
      <c r="A25" s="5" t="s">
        <v>90</v>
      </c>
      <c r="B25" s="29">
        <v>1282.7460000000001</v>
      </c>
      <c r="C25" s="30">
        <f>'Summary Sheet'!K56</f>
        <v>-145.697</v>
      </c>
      <c r="D25" s="28">
        <f>(D24-300.16)*10</f>
        <v>20525.400000000005</v>
      </c>
      <c r="E25" s="28">
        <f>'Summary Sheet'!L56</f>
        <v>31.263000000000005</v>
      </c>
      <c r="F25" s="31">
        <f>F24-960</f>
        <v>-451.7</v>
      </c>
      <c r="G25" s="31">
        <f>(G24-460.4)*10</f>
        <v>50836</v>
      </c>
      <c r="H25" s="31">
        <f>H24-159</f>
        <v>540.6</v>
      </c>
      <c r="I25" s="31">
        <f>I24-3887.6</f>
        <v>-1388.4</v>
      </c>
      <c r="J25" s="31">
        <f>(J24-2.47)*10</f>
        <v>-1885.6999999999998</v>
      </c>
      <c r="K25" s="31">
        <f>K24-4503.1</f>
        <v>1057.7999999999993</v>
      </c>
      <c r="L25" s="31">
        <f>L24-50.3</f>
        <v>744.90000000000009</v>
      </c>
      <c r="M25" s="28">
        <f>(M24-6.31)*10</f>
        <v>-10439.1</v>
      </c>
      <c r="N25" s="75">
        <f>N24-707.6</f>
        <v>231.79999999999995</v>
      </c>
      <c r="O25" s="86">
        <f>O24-1684.29</f>
        <v>-3023.7820000000002</v>
      </c>
      <c r="P25" s="92">
        <f>P24-980.055</f>
        <v>-475.47299999999996</v>
      </c>
      <c r="T25" s="8">
        <f t="shared" si="1"/>
        <v>5782.9</v>
      </c>
      <c r="U25" s="8">
        <f t="shared" si="2"/>
        <v>0</v>
      </c>
    </row>
    <row r="26" spans="1:2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76"/>
      <c r="O26" s="76"/>
      <c r="P26" s="33"/>
      <c r="T26" s="8">
        <f t="shared" si="1"/>
        <v>960504475</v>
      </c>
      <c r="U26" s="8">
        <f t="shared" si="2"/>
        <v>17426012</v>
      </c>
    </row>
    <row r="27" spans="1:21">
      <c r="A27" s="5" t="s">
        <v>126</v>
      </c>
      <c r="B27" s="34">
        <v>14015.162428400001</v>
      </c>
      <c r="C27" s="23">
        <f>'Summary Sheet'!K59</f>
        <v>1413.4764279999999</v>
      </c>
      <c r="D27" s="28">
        <v>7387.6</v>
      </c>
      <c r="E27" s="25">
        <f>'Summary Sheet'!L59</f>
        <v>1777.7184306000001</v>
      </c>
      <c r="F27" s="28">
        <f>F38*F21/1000000</f>
        <v>1788.2627301</v>
      </c>
      <c r="G27" s="28">
        <v>401481.4</v>
      </c>
      <c r="H27" s="28">
        <f>H38*H21/1000000</f>
        <v>1735.6667674499997</v>
      </c>
      <c r="I27" s="28">
        <f>I38*I21/1000000</f>
        <v>139945.50200750001</v>
      </c>
      <c r="J27" s="28">
        <v>9809.1</v>
      </c>
      <c r="K27" s="28">
        <f>K38*K21/1000000</f>
        <v>182111.64846</v>
      </c>
      <c r="L27" s="28">
        <f>L38*L21/1000000</f>
        <v>8258.1870867999987</v>
      </c>
      <c r="M27" s="28">
        <v>7792.1</v>
      </c>
      <c r="N27" s="28">
        <f>N38*N21/1000000</f>
        <v>13581.833752799999</v>
      </c>
      <c r="O27" s="75">
        <f>O38*O21/1000000</f>
        <v>8292.6963259999993</v>
      </c>
      <c r="P27" s="75">
        <f>P38*P21/1000000</f>
        <v>6098.1657128999996</v>
      </c>
      <c r="T27" s="8">
        <f t="shared" si="1"/>
        <v>5529</v>
      </c>
      <c r="U27" s="8">
        <f t="shared" si="2"/>
        <v>70.5</v>
      </c>
    </row>
    <row r="28" spans="1:21">
      <c r="A28" s="5" t="s">
        <v>127</v>
      </c>
      <c r="B28" s="23">
        <v>15881.662428400001</v>
      </c>
      <c r="C28" s="23">
        <f>'Summary Sheet'!K62</f>
        <v>3791.9764279999999</v>
      </c>
      <c r="D28" s="28">
        <v>12136</v>
      </c>
      <c r="E28" s="25">
        <f>'Summary Sheet'!L62</f>
        <v>4329.6184306000005</v>
      </c>
      <c r="F28" s="28">
        <f>F27+F18-F22</f>
        <v>6301.9627301</v>
      </c>
      <c r="G28" s="28">
        <v>400626.4</v>
      </c>
      <c r="H28" s="28">
        <f>H27+H18-H22</f>
        <v>6260.3667674499993</v>
      </c>
      <c r="I28" s="28">
        <f>I27+I18-I22</f>
        <v>143700.4020075</v>
      </c>
      <c r="J28" s="28">
        <v>9859.5</v>
      </c>
      <c r="K28" s="28">
        <f>K27+K18-K22</f>
        <v>180309.14846</v>
      </c>
      <c r="L28" s="28">
        <f>L27+L18-L22</f>
        <v>8279.987086799998</v>
      </c>
      <c r="M28" s="28">
        <v>7573.3</v>
      </c>
      <c r="N28" s="28">
        <f>N27+N18-N22</f>
        <v>13455.633752799999</v>
      </c>
      <c r="O28" s="75">
        <f>O27+O18-O22</f>
        <v>8094.096325999999</v>
      </c>
      <c r="P28" s="75">
        <f>P27+P18-P22</f>
        <v>4494.8347128999994</v>
      </c>
      <c r="T28" s="8">
        <f t="shared" si="1"/>
        <v>0</v>
      </c>
      <c r="U28" s="8">
        <f t="shared" si="2"/>
        <v>0</v>
      </c>
    </row>
    <row r="29" spans="1:21">
      <c r="A29" s="5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73"/>
      <c r="O29" s="73"/>
      <c r="P29" s="19"/>
      <c r="T29" s="8">
        <f t="shared" si="1"/>
        <v>2499.1999999999998</v>
      </c>
      <c r="U29" s="8">
        <f t="shared" si="2"/>
        <v>-1339.492</v>
      </c>
    </row>
    <row r="30" spans="1:21">
      <c r="A30" s="5" t="s">
        <v>37</v>
      </c>
      <c r="B30" s="19"/>
      <c r="C30" s="19"/>
      <c r="D30" s="19"/>
      <c r="E30" s="19"/>
      <c r="F30" s="19">
        <v>705.6</v>
      </c>
      <c r="G30" s="19"/>
      <c r="H30" s="19">
        <f>533.5</f>
        <v>533.5</v>
      </c>
      <c r="I30" s="19">
        <v>1448.9</v>
      </c>
      <c r="J30" s="19"/>
      <c r="K30" s="19">
        <v>58.3</v>
      </c>
      <c r="L30" s="19">
        <v>67.099999999999994</v>
      </c>
      <c r="M30" s="19"/>
      <c r="N30" s="73">
        <v>17.600000000000001</v>
      </c>
      <c r="O30" s="73">
        <v>26.620999999999999</v>
      </c>
      <c r="P30" s="19">
        <v>6.657</v>
      </c>
      <c r="T30" s="8">
        <f t="shared" si="1"/>
        <v>744.90000000000009</v>
      </c>
      <c r="U30" s="8">
        <f t="shared" si="2"/>
        <v>-3023.7820000000002</v>
      </c>
    </row>
    <row r="31" spans="1:21">
      <c r="A31" s="244" t="s">
        <v>128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1"/>
      <c r="L31" s="21"/>
      <c r="M31" s="22"/>
      <c r="N31" s="22"/>
      <c r="O31" s="22"/>
      <c r="P31" s="21"/>
      <c r="T31" s="8">
        <f t="shared" si="1"/>
        <v>0</v>
      </c>
      <c r="U31" s="8">
        <f t="shared" si="2"/>
        <v>0</v>
      </c>
    </row>
    <row r="32" spans="1:21">
      <c r="A32" s="5" t="s">
        <v>129</v>
      </c>
      <c r="B32" s="35">
        <v>19.694423223834988</v>
      </c>
      <c r="C32" s="36">
        <f>C38/'Summary Sheet'!K37</f>
        <v>4.6889089269612265</v>
      </c>
      <c r="D32" s="37">
        <v>2.87</v>
      </c>
      <c r="E32" s="38" t="s">
        <v>150</v>
      </c>
      <c r="F32" s="38" t="s">
        <v>150</v>
      </c>
      <c r="G32" s="37">
        <v>26.65</v>
      </c>
      <c r="H32" s="80" t="s">
        <v>150</v>
      </c>
      <c r="I32" s="38">
        <f>I38/I13</f>
        <v>26.587591240875909</v>
      </c>
      <c r="J32" s="19">
        <v>17.12</v>
      </c>
      <c r="K32" s="80" t="s">
        <v>150</v>
      </c>
      <c r="L32" s="38">
        <f>L38/L13</f>
        <v>18.760886777513853</v>
      </c>
      <c r="M32" s="39" t="s">
        <v>130</v>
      </c>
      <c r="N32" s="80" t="s">
        <v>150</v>
      </c>
      <c r="O32" s="87" t="s">
        <v>150</v>
      </c>
      <c r="P32" s="80" t="s">
        <v>150</v>
      </c>
      <c r="T32" s="8">
        <f t="shared" si="1"/>
        <v>139945.50200750001</v>
      </c>
      <c r="U32" s="8">
        <f t="shared" si="2"/>
        <v>1413.4764279999999</v>
      </c>
    </row>
    <row r="33" spans="1:21">
      <c r="A33" s="5" t="s">
        <v>97</v>
      </c>
      <c r="B33" s="40">
        <v>3.0062063615205587E-3</v>
      </c>
      <c r="C33" s="9">
        <v>4.1250000000000002E-3</v>
      </c>
      <c r="D33" s="39" t="s">
        <v>130</v>
      </c>
      <c r="E33" s="38" t="s">
        <v>150</v>
      </c>
      <c r="F33" s="41">
        <v>0</v>
      </c>
      <c r="G33" s="17">
        <v>6.8999999999999999E-3</v>
      </c>
      <c r="H33" s="80" t="s">
        <v>150</v>
      </c>
      <c r="I33" s="41">
        <v>2.0999999999999999E-3</v>
      </c>
      <c r="J33" s="17">
        <v>5.3E-3</v>
      </c>
      <c r="K33" s="80" t="s">
        <v>150</v>
      </c>
      <c r="L33" s="41">
        <v>3.2000000000000002E-3</v>
      </c>
      <c r="M33" s="17">
        <v>5.1999999999999998E-3</v>
      </c>
      <c r="N33" s="80" t="s">
        <v>150</v>
      </c>
      <c r="O33" s="88">
        <v>4.881025015253203E-3</v>
      </c>
      <c r="P33" s="80" t="s">
        <v>150</v>
      </c>
      <c r="T33" s="8">
        <f t="shared" si="1"/>
        <v>143700.4020075</v>
      </c>
      <c r="U33" s="8">
        <f t="shared" si="2"/>
        <v>3791.9764279999999</v>
      </c>
    </row>
    <row r="34" spans="1:21">
      <c r="A34" s="5" t="s">
        <v>131</v>
      </c>
      <c r="B34" s="23">
        <v>2.84035474705632</v>
      </c>
      <c r="C34" s="61">
        <f>'Summary Sheet'!AC59</f>
        <v>0.23677511901770606</v>
      </c>
      <c r="D34" s="19">
        <v>0.28999999999999998</v>
      </c>
      <c r="E34" s="38" t="s">
        <v>150</v>
      </c>
      <c r="F34" s="38">
        <f>F38/F40</f>
        <v>0.14350415925176946</v>
      </c>
      <c r="G34" s="19">
        <v>4.5999999999999996</v>
      </c>
      <c r="H34" s="80" t="s">
        <v>150</v>
      </c>
      <c r="I34" s="38">
        <f>I38/I40</f>
        <v>1.4977172536526424</v>
      </c>
      <c r="J34" s="19">
        <v>3.35</v>
      </c>
      <c r="K34" s="80" t="s">
        <v>150</v>
      </c>
      <c r="L34" s="38">
        <f>L38/L40</f>
        <v>2.0708109748990697</v>
      </c>
      <c r="M34" s="19">
        <v>0.99</v>
      </c>
      <c r="N34" s="80" t="s">
        <v>150</v>
      </c>
      <c r="O34" s="87">
        <f>O38/O40</f>
        <v>1.1981104509599754</v>
      </c>
      <c r="P34" s="80" t="s">
        <v>150</v>
      </c>
      <c r="T34" s="8">
        <f t="shared" si="1"/>
        <v>0</v>
      </c>
      <c r="U34" s="8">
        <f t="shared" si="2"/>
        <v>0</v>
      </c>
    </row>
    <row r="35" spans="1:21">
      <c r="A35" s="5" t="s">
        <v>132</v>
      </c>
      <c r="B35" s="23">
        <v>0.48128901044954059</v>
      </c>
      <c r="C35" s="36">
        <f>'Summary Sheet'!AC60</f>
        <v>4.9368264913422761</v>
      </c>
      <c r="D35" s="24">
        <f>D28/D7</f>
        <v>3.2092236090543684</v>
      </c>
      <c r="E35" s="38" t="s">
        <v>150</v>
      </c>
      <c r="F35" s="38">
        <f>F28/F7</f>
        <v>-6.3547067965110413</v>
      </c>
      <c r="G35" s="24">
        <v>13.9</v>
      </c>
      <c r="H35" s="80" t="s">
        <v>150</v>
      </c>
      <c r="I35" s="38">
        <f>I28/I7</f>
        <v>10.451394388664234</v>
      </c>
      <c r="J35" s="24">
        <v>11.36</v>
      </c>
      <c r="K35" s="80" t="s">
        <v>150</v>
      </c>
      <c r="L35" s="38">
        <v>4.8099999999999996</v>
      </c>
      <c r="M35" s="24">
        <v>-11.68</v>
      </c>
      <c r="N35" s="80" t="s">
        <v>150</v>
      </c>
      <c r="O35" s="87">
        <f>O28/O7</f>
        <v>75.645760056074764</v>
      </c>
      <c r="P35" s="80" t="s">
        <v>150</v>
      </c>
      <c r="T35" s="8">
        <f t="shared" si="1"/>
        <v>1448.9</v>
      </c>
      <c r="U35" s="8">
        <f t="shared" si="2"/>
        <v>26.620999999999999</v>
      </c>
    </row>
    <row r="36" spans="1:21">
      <c r="A36" s="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73"/>
      <c r="O36" s="73"/>
      <c r="P36" s="19"/>
      <c r="T36" s="8">
        <f t="shared" si="1"/>
        <v>0</v>
      </c>
      <c r="U36" s="8">
        <f t="shared" si="2"/>
        <v>0</v>
      </c>
    </row>
    <row r="37" spans="1:21">
      <c r="A37" s="241" t="s">
        <v>133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1"/>
      <c r="T37" s="8">
        <f t="shared" si="1"/>
        <v>26.587591240875909</v>
      </c>
      <c r="U37" s="8">
        <f t="shared" si="2"/>
        <v>4.6889089269612265</v>
      </c>
    </row>
    <row r="38" spans="1:21">
      <c r="A38" s="3" t="s">
        <v>152</v>
      </c>
      <c r="B38" s="19"/>
      <c r="C38" s="42">
        <v>52</v>
      </c>
      <c r="D38" s="19"/>
      <c r="E38" s="19">
        <v>51</v>
      </c>
      <c r="F38" s="42">
        <v>18.7</v>
      </c>
      <c r="G38" s="19"/>
      <c r="H38" s="19">
        <v>18.149999999999999</v>
      </c>
      <c r="I38" s="42">
        <v>145.69999999999999</v>
      </c>
      <c r="J38" s="19"/>
      <c r="K38" s="19">
        <v>189.6</v>
      </c>
      <c r="L38" s="42">
        <v>473.9</v>
      </c>
      <c r="M38" s="19"/>
      <c r="N38" s="73">
        <v>779.4</v>
      </c>
      <c r="O38" s="89">
        <v>82</v>
      </c>
      <c r="P38" s="42">
        <v>60.3</v>
      </c>
      <c r="T38" s="1">
        <f t="shared" si="1"/>
        <v>4.881025015253203E-3</v>
      </c>
      <c r="U38" s="1">
        <f t="shared" si="2"/>
        <v>0</v>
      </c>
    </row>
    <row r="39" spans="1:21">
      <c r="A39" s="5" t="s">
        <v>134</v>
      </c>
      <c r="B39" s="19">
        <f>B17</f>
        <v>4934.3</v>
      </c>
      <c r="C39" s="24">
        <f>C17</f>
        <v>5969.7</v>
      </c>
      <c r="D39" s="24">
        <f t="shared" ref="D39:O39" si="5">D17</f>
        <v>2243</v>
      </c>
      <c r="E39" s="24">
        <f>E17</f>
        <v>5763</v>
      </c>
      <c r="F39" s="24">
        <f>F17</f>
        <v>12461.4</v>
      </c>
      <c r="G39" s="24">
        <f t="shared" si="5"/>
        <v>7561.7</v>
      </c>
      <c r="H39" s="24">
        <f>H17</f>
        <v>11938</v>
      </c>
      <c r="I39" s="24">
        <f t="shared" si="5"/>
        <v>93439.2</v>
      </c>
      <c r="J39" s="24">
        <f t="shared" si="5"/>
        <v>381.71</v>
      </c>
      <c r="K39" s="24">
        <f>K17</f>
        <v>94480.5</v>
      </c>
      <c r="L39" s="24">
        <f t="shared" si="5"/>
        <v>3987.9</v>
      </c>
      <c r="M39" s="24">
        <f t="shared" si="5"/>
        <v>853.53</v>
      </c>
      <c r="N39" s="24">
        <f>N17</f>
        <v>4682.6000000000004</v>
      </c>
      <c r="O39" s="74">
        <f t="shared" si="5"/>
        <v>6921.4790000000003</v>
      </c>
      <c r="P39" s="24">
        <f>P17</f>
        <v>6460.3239999999996</v>
      </c>
      <c r="T39" s="8">
        <f t="shared" si="1"/>
        <v>2.0708109748990697</v>
      </c>
      <c r="U39" s="8">
        <f t="shared" si="2"/>
        <v>0.14350415925176946</v>
      </c>
    </row>
    <row r="40" spans="1:21">
      <c r="A40" s="5" t="s">
        <v>135</v>
      </c>
      <c r="B40" s="43">
        <v>181.52662111461828</v>
      </c>
      <c r="C40" s="23">
        <f>'Summary Sheet'!AC56</f>
        <v>219.61767020001554</v>
      </c>
      <c r="D40" s="19">
        <v>234.52</v>
      </c>
      <c r="E40" s="23">
        <f>'Summary Sheet'!AD56</f>
        <v>212.01344009961801</v>
      </c>
      <c r="F40" s="28">
        <f>F17/F21*1000000</f>
        <v>130.30981190720729</v>
      </c>
      <c r="G40" s="19">
        <v>78.77</v>
      </c>
      <c r="H40" s="28">
        <f>H17/H21*1000000</f>
        <v>124.8365781170848</v>
      </c>
      <c r="I40" s="28">
        <f>I17/I21*1000000</f>
        <v>97.281379141934764</v>
      </c>
      <c r="J40" s="19">
        <v>159.97999999999999</v>
      </c>
      <c r="K40" s="28">
        <f>K17/K21*1000000</f>
        <v>98.365496943676391</v>
      </c>
      <c r="L40" s="28">
        <f>L17/L21*1000000</f>
        <v>228.84754125040197</v>
      </c>
      <c r="M40" s="19">
        <v>84.4</v>
      </c>
      <c r="N40" s="28">
        <f>N17/N21*1000000</f>
        <v>268.71323169064732</v>
      </c>
      <c r="O40" s="75">
        <f>O17/O21*1000000</f>
        <v>68.441102349368734</v>
      </c>
      <c r="P40" s="28">
        <f>P17/P21*1000000</f>
        <v>63.881100570280303</v>
      </c>
      <c r="T40" s="8">
        <f t="shared" si="1"/>
        <v>75.645760056074764</v>
      </c>
      <c r="U40" s="8">
        <f t="shared" si="2"/>
        <v>-6.3547067965110413</v>
      </c>
    </row>
    <row r="41" spans="1:21">
      <c r="A41" s="5" t="s">
        <v>136</v>
      </c>
      <c r="B41" s="44">
        <v>0.14419471860243604</v>
      </c>
      <c r="C41" s="45">
        <f>'Summary Sheet'!AC61</f>
        <v>5.0488299244518052E-2</v>
      </c>
      <c r="D41" s="12">
        <v>0.10979999999999999</v>
      </c>
      <c r="E41" s="12" t="s">
        <v>150</v>
      </c>
      <c r="F41" s="46">
        <v>0.1046</v>
      </c>
      <c r="G41" s="12">
        <v>0.2072</v>
      </c>
      <c r="H41" s="12" t="s">
        <v>150</v>
      </c>
      <c r="I41" s="46">
        <v>5.6300000000000003E-2</v>
      </c>
      <c r="J41" s="47">
        <v>0.11</v>
      </c>
      <c r="K41" s="12" t="s">
        <v>150</v>
      </c>
      <c r="L41" s="46">
        <v>0.106</v>
      </c>
      <c r="M41" s="12">
        <v>-6.8099999999999994E-2</v>
      </c>
      <c r="N41" s="12" t="s">
        <v>150</v>
      </c>
      <c r="O41" s="90">
        <v>-8.4900000000000003E-2</v>
      </c>
      <c r="P41" s="12" t="s">
        <v>150</v>
      </c>
      <c r="T41" s="8">
        <f t="shared" si="1"/>
        <v>0</v>
      </c>
      <c r="U41" s="8">
        <f t="shared" si="2"/>
        <v>0</v>
      </c>
    </row>
    <row r="42" spans="1:21">
      <c r="A42" s="5" t="s">
        <v>137</v>
      </c>
      <c r="B42" s="45">
        <v>0.20309251178727269</v>
      </c>
      <c r="C42" s="45">
        <f>'Summary Sheet'!AC62</f>
        <v>7.8983844756715341E-2</v>
      </c>
      <c r="D42" s="12">
        <v>0.13250000000000001</v>
      </c>
      <c r="E42" s="12" t="s">
        <v>150</v>
      </c>
      <c r="F42" s="46">
        <v>0.1336</v>
      </c>
      <c r="G42" s="12">
        <v>0.27389999999999998</v>
      </c>
      <c r="H42" s="12" t="s">
        <v>150</v>
      </c>
      <c r="I42" s="46">
        <v>0.1409</v>
      </c>
      <c r="J42" s="17">
        <v>0.1585</v>
      </c>
      <c r="K42" s="12" t="s">
        <v>150</v>
      </c>
      <c r="L42" s="46">
        <v>0.14899999999999999</v>
      </c>
      <c r="M42" s="12">
        <v>-8.7499999999999994E-2</v>
      </c>
      <c r="N42" s="12" t="s">
        <v>150</v>
      </c>
      <c r="O42" s="90">
        <v>-2.7799999999999998E-2</v>
      </c>
      <c r="P42" s="12" t="s">
        <v>150</v>
      </c>
      <c r="T42" s="8">
        <f t="shared" si="1"/>
        <v>0</v>
      </c>
      <c r="U42" s="8">
        <f t="shared" si="2"/>
        <v>0</v>
      </c>
    </row>
    <row r="43" spans="1:21">
      <c r="A43" s="5" t="s">
        <v>138</v>
      </c>
      <c r="B43" s="48" t="e">
        <v>#REF!</v>
      </c>
      <c r="C43" s="28">
        <v>41.296727272727274</v>
      </c>
      <c r="D43" s="49">
        <v>0.15</v>
      </c>
      <c r="E43" s="12" t="s">
        <v>150</v>
      </c>
      <c r="F43" s="28">
        <v>0.32462259043350161</v>
      </c>
      <c r="G43" s="49">
        <v>4.28</v>
      </c>
      <c r="H43" s="12" t="s">
        <v>150</v>
      </c>
      <c r="I43" s="28">
        <v>65.7</v>
      </c>
      <c r="J43" s="49">
        <v>1.76</v>
      </c>
      <c r="K43" s="12" t="s">
        <v>150</v>
      </c>
      <c r="L43" s="28">
        <v>80.77</v>
      </c>
      <c r="M43" s="49">
        <v>2.93</v>
      </c>
      <c r="N43" s="12" t="s">
        <v>150</v>
      </c>
      <c r="O43" s="75">
        <v>64.599999999999994</v>
      </c>
      <c r="P43" s="12" t="s">
        <v>150</v>
      </c>
      <c r="T43" s="8">
        <f t="shared" si="1"/>
        <v>473.9</v>
      </c>
      <c r="U43" s="8">
        <f t="shared" si="2"/>
        <v>18.7</v>
      </c>
    </row>
    <row r="44" spans="1:21">
      <c r="A44" s="5" t="s">
        <v>139</v>
      </c>
      <c r="B44" s="50">
        <v>123.54092981415984</v>
      </c>
      <c r="C44" s="36">
        <f>'Summary Sheet'!AC66</f>
        <v>93.835600420937752</v>
      </c>
      <c r="D44" s="51">
        <v>252.63</v>
      </c>
      <c r="E44" s="12" t="s">
        <v>150</v>
      </c>
      <c r="F44" s="38">
        <v>264.04191311936387</v>
      </c>
      <c r="G44" s="52">
        <v>75.84</v>
      </c>
      <c r="H44" s="12" t="s">
        <v>150</v>
      </c>
      <c r="I44" s="38">
        <v>77.378767062856852</v>
      </c>
      <c r="J44" s="19">
        <v>64.13</v>
      </c>
      <c r="K44" s="12" t="s">
        <v>150</v>
      </c>
      <c r="L44" s="38">
        <v>76</v>
      </c>
      <c r="M44" s="53">
        <v>84.37</v>
      </c>
      <c r="N44" s="12" t="s">
        <v>150</v>
      </c>
      <c r="O44" s="87">
        <v>82</v>
      </c>
      <c r="P44" s="12" t="s">
        <v>150</v>
      </c>
      <c r="T44" s="8">
        <f t="shared" si="1"/>
        <v>93439.2</v>
      </c>
      <c r="U44" s="8">
        <f t="shared" si="2"/>
        <v>3987.9</v>
      </c>
    </row>
    <row r="45" spans="1:21">
      <c r="A45" s="5" t="s">
        <v>102</v>
      </c>
      <c r="B45" s="54">
        <v>675.5870885439125</v>
      </c>
      <c r="C45" s="55">
        <f>'Summary Sheet'!AC68</f>
        <v>718.75721808335572</v>
      </c>
      <c r="D45" s="51">
        <v>0.44</v>
      </c>
      <c r="E45" s="12" t="s">
        <v>150</v>
      </c>
      <c r="F45" s="38">
        <v>1.8866645482470077</v>
      </c>
      <c r="G45" s="52">
        <v>118.03</v>
      </c>
      <c r="H45" s="12" t="s">
        <v>150</v>
      </c>
      <c r="I45" s="38">
        <f>149</f>
        <v>149</v>
      </c>
      <c r="J45" s="19">
        <v>30.53</v>
      </c>
      <c r="K45" s="12" t="s">
        <v>150</v>
      </c>
      <c r="L45" s="38">
        <v>66</v>
      </c>
      <c r="M45" s="53">
        <v>99.84</v>
      </c>
      <c r="N45" s="12" t="s">
        <v>150</v>
      </c>
      <c r="O45" s="87">
        <v>138</v>
      </c>
      <c r="P45" s="12" t="s">
        <v>150</v>
      </c>
      <c r="T45" s="8">
        <f t="shared" si="1"/>
        <v>228.84754125040197</v>
      </c>
      <c r="U45" s="8">
        <f t="shared" si="2"/>
        <v>68.441102349368734</v>
      </c>
    </row>
    <row r="46" spans="1:21">
      <c r="A46" s="5" t="s">
        <v>140</v>
      </c>
      <c r="B46" s="54">
        <v>19.564480290875512</v>
      </c>
      <c r="C46" s="55">
        <f>'Summary Sheet'!AC67</f>
        <v>32.992459835445644</v>
      </c>
      <c r="D46" s="51">
        <v>515.41</v>
      </c>
      <c r="E46" s="12" t="s">
        <v>150</v>
      </c>
      <c r="F46" s="38">
        <v>205.74</v>
      </c>
      <c r="G46" s="52">
        <v>70.959999999999994</v>
      </c>
      <c r="H46" s="12" t="s">
        <v>150</v>
      </c>
      <c r="I46" s="38">
        <v>76.88</v>
      </c>
      <c r="J46" s="19">
        <v>46.21</v>
      </c>
      <c r="K46" s="12" t="s">
        <v>150</v>
      </c>
      <c r="L46" s="38">
        <v>51</v>
      </c>
      <c r="M46" s="53">
        <v>63.08</v>
      </c>
      <c r="N46" s="12" t="s">
        <v>150</v>
      </c>
      <c r="O46" s="87">
        <v>66</v>
      </c>
      <c r="P46" s="12" t="s">
        <v>150</v>
      </c>
      <c r="T46" s="1">
        <f t="shared" si="1"/>
        <v>0.106</v>
      </c>
      <c r="U46" s="1">
        <f t="shared" si="2"/>
        <v>-8.4900000000000003E-2</v>
      </c>
    </row>
    <row r="47" spans="1:21">
      <c r="A47" s="5" t="s">
        <v>141</v>
      </c>
      <c r="B47" s="54">
        <v>493.7</v>
      </c>
      <c r="C47" s="55">
        <f>'Summary Sheet'!AC69</f>
        <v>779.60035866884789</v>
      </c>
      <c r="D47" s="51">
        <v>-262.33</v>
      </c>
      <c r="E47" s="12" t="s">
        <v>150</v>
      </c>
      <c r="F47" s="38">
        <f>F44+F45-F46</f>
        <v>60.188577667610843</v>
      </c>
      <c r="G47" s="52">
        <v>122.91</v>
      </c>
      <c r="H47" s="12" t="s">
        <v>150</v>
      </c>
      <c r="I47" s="38">
        <f>I44+I45-I46</f>
        <v>149.49876706285687</v>
      </c>
      <c r="J47" s="19">
        <v>48.45</v>
      </c>
      <c r="K47" s="12" t="s">
        <v>150</v>
      </c>
      <c r="L47" s="38">
        <f>L44+L45-L46</f>
        <v>91</v>
      </c>
      <c r="M47" s="53">
        <v>121.13</v>
      </c>
      <c r="N47" s="12" t="s">
        <v>150</v>
      </c>
      <c r="O47" s="87">
        <f>O44+O45-O46</f>
        <v>154</v>
      </c>
      <c r="P47" s="12" t="s">
        <v>150</v>
      </c>
      <c r="T47" s="1">
        <f t="shared" si="1"/>
        <v>0.14899999999999999</v>
      </c>
      <c r="U47" s="1">
        <f t="shared" si="2"/>
        <v>-2.7799999999999998E-2</v>
      </c>
    </row>
    <row r="48" spans="1:21">
      <c r="A48" s="5" t="s">
        <v>104</v>
      </c>
      <c r="B48" s="54">
        <v>479.37358166540588</v>
      </c>
      <c r="C48" s="55">
        <f>'Summary Sheet'!AC70</f>
        <v>543.67316911564103</v>
      </c>
      <c r="D48" s="52">
        <f t="shared" ref="D48:J48" si="6">D44+D45-D46</f>
        <v>-262.33999999999997</v>
      </c>
      <c r="E48" s="12" t="s">
        <v>150</v>
      </c>
      <c r="F48" s="38">
        <v>21.418919813471888</v>
      </c>
      <c r="G48" s="52">
        <f t="shared" si="6"/>
        <v>122.91000000000001</v>
      </c>
      <c r="H48" s="12" t="s">
        <v>150</v>
      </c>
      <c r="I48" s="38">
        <v>305.1609628564579</v>
      </c>
      <c r="J48" s="52">
        <f t="shared" si="6"/>
        <v>48.449999999999996</v>
      </c>
      <c r="K48" s="12" t="s">
        <v>150</v>
      </c>
      <c r="L48" s="38">
        <v>149.59640508482019</v>
      </c>
      <c r="M48" s="52">
        <f>M44+M45-M46</f>
        <v>121.13000000000001</v>
      </c>
      <c r="N48" s="12" t="s">
        <v>150</v>
      </c>
      <c r="O48" s="87">
        <v>392.23977448391429</v>
      </c>
      <c r="P48" s="12" t="s">
        <v>150</v>
      </c>
      <c r="T48" s="8">
        <f t="shared" si="1"/>
        <v>80.77</v>
      </c>
      <c r="U48" s="8">
        <f t="shared" si="2"/>
        <v>0.32462259043350161</v>
      </c>
    </row>
    <row r="49" spans="1:21">
      <c r="A49" s="5" t="s">
        <v>142</v>
      </c>
      <c r="B49" s="54">
        <v>0.38090509292098168</v>
      </c>
      <c r="C49" s="23">
        <f>'Summary Sheet'!AC63</f>
        <v>0.40022111663902704</v>
      </c>
      <c r="D49" s="53">
        <v>0.31</v>
      </c>
      <c r="E49" s="23">
        <f>E18/E17</f>
        <v>0.45554398750650699</v>
      </c>
      <c r="F49" s="28">
        <f>F18/F17</f>
        <v>0.37109795047105459</v>
      </c>
      <c r="G49" s="52">
        <v>0.2</v>
      </c>
      <c r="H49" s="28">
        <f>H18/H17</f>
        <v>0.40262187971184454</v>
      </c>
      <c r="I49" s="28">
        <f>I18/I17</f>
        <v>9.9357657171722361E-2</v>
      </c>
      <c r="J49" s="19">
        <v>0.06</v>
      </c>
      <c r="K49" s="28">
        <f>K18/K17</f>
        <v>3.8425918575790773E-2</v>
      </c>
      <c r="L49" s="28">
        <f>L18/L17</f>
        <v>2.314501366634068E-2</v>
      </c>
      <c r="M49" s="53">
        <v>0</v>
      </c>
      <c r="N49" s="28">
        <f>N18/N17</f>
        <v>0</v>
      </c>
      <c r="O49" s="75">
        <f>O18/O17</f>
        <v>0</v>
      </c>
      <c r="P49" s="28">
        <f>P18/P17</f>
        <v>0</v>
      </c>
      <c r="T49" s="8">
        <f t="shared" si="1"/>
        <v>264.04191311936387</v>
      </c>
      <c r="U49" s="8">
        <f t="shared" si="2"/>
        <v>76</v>
      </c>
    </row>
    <row r="50" spans="1:21">
      <c r="A50" s="5" t="s">
        <v>143</v>
      </c>
      <c r="B50" s="54">
        <v>0.37827047402873759</v>
      </c>
      <c r="C50" s="23">
        <f>'Summary Sheet'!AC64</f>
        <v>0.39842873176206511</v>
      </c>
      <c r="D50" s="52">
        <f>D18/(D17-180.06)</f>
        <v>0.29937855681696995</v>
      </c>
      <c r="E50" s="23">
        <f>(E18-E22)/E17</f>
        <v>0.45420787784140204</v>
      </c>
      <c r="F50" s="28">
        <f>(F18-F22)/F17</f>
        <v>0.36221451843292085</v>
      </c>
      <c r="G50" s="52">
        <f>G18/(G17-1611.7)</f>
        <v>0.19247058823529412</v>
      </c>
      <c r="H50" s="28">
        <f>(H18-H22)/H17</f>
        <v>0.37901658569274582</v>
      </c>
      <c r="I50" s="28">
        <f>(I18-I22)/I17</f>
        <v>4.0185489601794536E-2</v>
      </c>
      <c r="J50" s="52">
        <f>J18/(J17-10.84)</f>
        <v>4.2791274570604255E-2</v>
      </c>
      <c r="K50" s="28">
        <f>(K18-K22)/K17</f>
        <v>-1.9078010806462709E-2</v>
      </c>
      <c r="L50" s="28">
        <f>(L18-L22)/L17</f>
        <v>5.4665362722234748E-3</v>
      </c>
      <c r="M50" s="52">
        <f>M18/(M17-21.97)</f>
        <v>9.6204723651931322E-5</v>
      </c>
      <c r="N50" s="28">
        <f>(N18-N22)/N17</f>
        <v>-2.6950839277324563E-2</v>
      </c>
      <c r="O50" s="75">
        <f>(O18-O22)/O17</f>
        <v>-2.8693289396673743E-2</v>
      </c>
      <c r="P50" s="28">
        <f>(P18-P22)/P17</f>
        <v>-0.24818120577234207</v>
      </c>
      <c r="T50" s="8">
        <f t="shared" si="1"/>
        <v>718.75721808335572</v>
      </c>
      <c r="U50" s="8">
        <f t="shared" si="2"/>
        <v>1.8866645482470077</v>
      </c>
    </row>
    <row r="51" spans="1:21">
      <c r="A51" s="5" t="s">
        <v>144</v>
      </c>
      <c r="B51" s="50">
        <v>4.38</v>
      </c>
      <c r="C51" s="23">
        <f>('Summary Sheet'!K13-'Summary Sheet'!K20)/'Summary Sheet'!AC11</f>
        <v>6.2649364305515653E-2</v>
      </c>
      <c r="D51" s="53">
        <v>4.45</v>
      </c>
      <c r="E51" s="53"/>
      <c r="F51" s="28">
        <v>5.0999999999999996</v>
      </c>
      <c r="G51" s="52">
        <v>17</v>
      </c>
      <c r="H51" s="52"/>
      <c r="I51" s="28">
        <v>9.58</v>
      </c>
      <c r="J51" s="19">
        <v>12.56</v>
      </c>
      <c r="K51" s="52"/>
      <c r="L51" s="28">
        <v>9.99</v>
      </c>
      <c r="M51" s="53">
        <v>-1190.27</v>
      </c>
      <c r="N51" s="52"/>
      <c r="O51" s="75">
        <v>-7.33</v>
      </c>
      <c r="P51" s="52"/>
      <c r="T51" s="8">
        <f t="shared" si="1"/>
        <v>205.74</v>
      </c>
      <c r="U51" s="8">
        <f t="shared" si="2"/>
        <v>32.992459835445644</v>
      </c>
    </row>
    <row r="52" spans="1:21" ht="15.75" thickBot="1">
      <c r="A52" s="56" t="s">
        <v>145</v>
      </c>
      <c r="B52" s="57">
        <v>0.16344772545889863</v>
      </c>
      <c r="C52" s="57">
        <f>'Summary Sheet'!K20/'Summary Sheet'!AC10</f>
        <v>0.1020425246944584</v>
      </c>
      <c r="D52" s="58">
        <f>83.17/D18</f>
        <v>0.13466645077720207</v>
      </c>
      <c r="E52" s="59">
        <f>E30/E18</f>
        <v>0</v>
      </c>
      <c r="F52" s="59">
        <f>F30/F18</f>
        <v>0.15258195657815068</v>
      </c>
      <c r="G52" s="58">
        <f>144.8/G18</f>
        <v>0.12644079636744673</v>
      </c>
      <c r="H52" s="59">
        <f>H30/H18</f>
        <v>0.11099552689066888</v>
      </c>
      <c r="I52" s="59">
        <f>I30/I18</f>
        <v>0.15606587748683207</v>
      </c>
      <c r="J52" s="58">
        <f>3.37/J18</f>
        <v>0.21235034656584753</v>
      </c>
      <c r="K52" s="59">
        <f>K30/K18</f>
        <v>1.6058394160583942E-2</v>
      </c>
      <c r="L52" s="59">
        <f>L30/L18</f>
        <v>0.72697724810400866</v>
      </c>
      <c r="M52" s="58">
        <f>0.05/M18</f>
        <v>0.625</v>
      </c>
      <c r="N52" s="59" t="e">
        <f>N30/N18</f>
        <v>#DIV/0!</v>
      </c>
      <c r="O52" s="91">
        <v>0</v>
      </c>
      <c r="P52" s="59" t="e">
        <f>P30/P18</f>
        <v>#DIV/0!</v>
      </c>
      <c r="T52" s="8">
        <f t="shared" si="1"/>
        <v>779.60035866884789</v>
      </c>
      <c r="U52" s="8">
        <f t="shared" si="2"/>
        <v>60.188577667610843</v>
      </c>
    </row>
    <row r="53" spans="1:2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T53" s="8">
        <f t="shared" si="1"/>
        <v>543.67316911564103</v>
      </c>
      <c r="U53" s="8">
        <f t="shared" si="2"/>
        <v>21.418919813471888</v>
      </c>
    </row>
    <row r="54" spans="1:21">
      <c r="T54" s="8">
        <f t="shared" si="1"/>
        <v>0.40022111663902704</v>
      </c>
      <c r="U54" s="8">
        <f t="shared" si="2"/>
        <v>0</v>
      </c>
    </row>
    <row r="55" spans="1:21">
      <c r="T55" s="8">
        <f t="shared" si="1"/>
        <v>0.39842873176206511</v>
      </c>
      <c r="U55" s="8">
        <f t="shared" si="2"/>
        <v>-2.8693289396673743E-2</v>
      </c>
    </row>
    <row r="56" spans="1:21">
      <c r="T56" s="8">
        <f t="shared" si="1"/>
        <v>9.99</v>
      </c>
      <c r="U56" s="8">
        <f t="shared" si="2"/>
        <v>-7.33</v>
      </c>
    </row>
    <row r="57" spans="1:21">
      <c r="T57" s="1">
        <f t="shared" si="1"/>
        <v>0.72697724810400866</v>
      </c>
      <c r="U57" s="1">
        <f t="shared" si="2"/>
        <v>0</v>
      </c>
    </row>
  </sheetData>
  <mergeCells count="11">
    <mergeCell ref="A1:O1"/>
    <mergeCell ref="B2:C2"/>
    <mergeCell ref="D2:F2"/>
    <mergeCell ref="G2:I2"/>
    <mergeCell ref="J2:L2"/>
    <mergeCell ref="M2:O2"/>
    <mergeCell ref="A3:O3"/>
    <mergeCell ref="A16:J16"/>
    <mergeCell ref="A23:J23"/>
    <mergeCell ref="A31:J31"/>
    <mergeCell ref="A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Peer comparison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Valorem-36</dc:creator>
  <cp:lastModifiedBy>Amit valorem</cp:lastModifiedBy>
  <cp:lastPrinted>2022-02-23T10:08:53Z</cp:lastPrinted>
  <dcterms:created xsi:type="dcterms:W3CDTF">2020-03-11T09:02:57Z</dcterms:created>
  <dcterms:modified xsi:type="dcterms:W3CDTF">2026-02-04T13:22:19Z</dcterms:modified>
</cp:coreProperties>
</file>