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p\Desktop\Q3 Concall highlighjts\"/>
    </mc:Choice>
  </mc:AlternateContent>
  <xr:revisionPtr revIDLastSave="0" documentId="8_{5E7071AB-C3D1-43A5-8B34-7904ADBCF4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0" i="1" l="1"/>
  <c r="Y57" i="1"/>
  <c r="L51" i="1"/>
  <c r="L22" i="1"/>
  <c r="L14" i="1"/>
  <c r="L21" i="1" s="1"/>
  <c r="L7" i="1"/>
  <c r="Y15" i="1"/>
  <c r="Y38" i="1"/>
  <c r="Y52" i="1" s="1"/>
  <c r="Y11" i="1"/>
  <c r="L41" i="1"/>
  <c r="Y40" i="1"/>
  <c r="Y27" i="1"/>
  <c r="Y10" i="1"/>
  <c r="Y6" i="1"/>
  <c r="L52" i="1"/>
  <c r="L45" i="1"/>
  <c r="L47" i="1"/>
  <c r="K41" i="1"/>
  <c r="L23" i="1" l="1"/>
  <c r="L26" i="1" s="1"/>
  <c r="L17" i="1"/>
  <c r="Y51" i="1"/>
  <c r="Y12" i="1" s="1"/>
  <c r="Y46" i="1"/>
  <c r="K51" i="1"/>
  <c r="X57" i="1"/>
  <c r="K45" i="1"/>
  <c r="K34" i="1"/>
  <c r="K33" i="1"/>
  <c r="K22" i="1"/>
  <c r="K7" i="1"/>
  <c r="K14" i="1" s="1"/>
  <c r="K6" i="1"/>
  <c r="K17" i="1" l="1"/>
  <c r="K21" i="1"/>
  <c r="K23" i="1" s="1"/>
  <c r="W57" i="1"/>
  <c r="X27" i="1"/>
  <c r="K53" i="1"/>
  <c r="X68" i="1"/>
  <c r="X40" i="1"/>
  <c r="L27" i="1" l="1"/>
  <c r="X67" i="1"/>
  <c r="J41" i="1" l="1"/>
  <c r="X70" i="1" l="1"/>
  <c r="K54" i="1"/>
  <c r="J45" i="1"/>
  <c r="I41" i="1"/>
  <c r="I42" i="1" s="1"/>
  <c r="J37" i="1" s="1"/>
  <c r="J42" i="1" s="1"/>
  <c r="X15" i="1"/>
  <c r="X38" i="1"/>
  <c r="X46" i="1" s="1"/>
  <c r="X10" i="1"/>
  <c r="K52" i="1" s="1"/>
  <c r="X6" i="1"/>
  <c r="X58" i="1" s="1"/>
  <c r="V57" i="1"/>
  <c r="V60" i="1" s="1"/>
  <c r="V72" i="1"/>
  <c r="U72" i="1"/>
  <c r="T72" i="1"/>
  <c r="S72" i="1"/>
  <c r="R72" i="1"/>
  <c r="Q72" i="1"/>
  <c r="P72" i="1"/>
  <c r="V68" i="1"/>
  <c r="U68" i="1"/>
  <c r="T68" i="1"/>
  <c r="S68" i="1"/>
  <c r="R68" i="1"/>
  <c r="Q68" i="1"/>
  <c r="P68" i="1"/>
  <c r="W67" i="1"/>
  <c r="V67" i="1"/>
  <c r="U57" i="1"/>
  <c r="T57" i="1"/>
  <c r="S57" i="1"/>
  <c r="R57" i="1"/>
  <c r="Q57" i="1"/>
  <c r="P57" i="1"/>
  <c r="J54" i="1"/>
  <c r="I54" i="1"/>
  <c r="H54" i="1"/>
  <c r="G54" i="1"/>
  <c r="F54" i="1"/>
  <c r="E54" i="1"/>
  <c r="D54" i="1"/>
  <c r="C54" i="1"/>
  <c r="U56" i="1"/>
  <c r="U67" i="1" s="1"/>
  <c r="T56" i="1"/>
  <c r="T67" i="1" s="1"/>
  <c r="S56" i="1"/>
  <c r="S67" i="1" s="1"/>
  <c r="R56" i="1"/>
  <c r="R67" i="1" s="1"/>
  <c r="Q56" i="1"/>
  <c r="Q67" i="1" s="1"/>
  <c r="P56" i="1"/>
  <c r="P67" i="1" s="1"/>
  <c r="J53" i="1"/>
  <c r="I53" i="1"/>
  <c r="H53" i="1"/>
  <c r="G53" i="1"/>
  <c r="F53" i="1"/>
  <c r="E53" i="1"/>
  <c r="D53" i="1"/>
  <c r="C53" i="1"/>
  <c r="J50" i="1"/>
  <c r="J51" i="1" s="1"/>
  <c r="I50" i="1"/>
  <c r="I51" i="1" s="1"/>
  <c r="H50" i="1"/>
  <c r="H51" i="1" s="1"/>
  <c r="G50" i="1"/>
  <c r="G51" i="1" s="1"/>
  <c r="F50" i="1"/>
  <c r="F51" i="1" s="1"/>
  <c r="E50" i="1"/>
  <c r="E51" i="1" s="1"/>
  <c r="D50" i="1"/>
  <c r="D51" i="1" s="1"/>
  <c r="C50" i="1"/>
  <c r="C51" i="1" s="1"/>
  <c r="I46" i="1"/>
  <c r="H46" i="1"/>
  <c r="G46" i="1"/>
  <c r="F46" i="1"/>
  <c r="E46" i="1"/>
  <c r="D46" i="1"/>
  <c r="C46" i="1"/>
  <c r="I45" i="1"/>
  <c r="H45" i="1"/>
  <c r="G45" i="1"/>
  <c r="F45" i="1"/>
  <c r="E45" i="1"/>
  <c r="D45" i="1"/>
  <c r="C45" i="1"/>
  <c r="H41" i="1"/>
  <c r="H42" i="1" s="1"/>
  <c r="G41" i="1"/>
  <c r="G42" i="1" s="1"/>
  <c r="F41" i="1"/>
  <c r="F42" i="1" s="1"/>
  <c r="E41" i="1"/>
  <c r="E42" i="1" s="1"/>
  <c r="D41" i="1"/>
  <c r="D42" i="1" s="1"/>
  <c r="C41" i="1"/>
  <c r="C42" i="1" s="1"/>
  <c r="W41" i="1"/>
  <c r="W40" i="1"/>
  <c r="X69" i="1" s="1"/>
  <c r="T40" i="1"/>
  <c r="T38" i="1" s="1"/>
  <c r="S40" i="1"/>
  <c r="S38" i="1" s="1"/>
  <c r="R40" i="1"/>
  <c r="R38" i="1" s="1"/>
  <c r="V38" i="1"/>
  <c r="U38" i="1"/>
  <c r="Q38" i="1"/>
  <c r="P38" i="1"/>
  <c r="J34" i="1"/>
  <c r="I34" i="1"/>
  <c r="H34" i="1"/>
  <c r="G34" i="1"/>
  <c r="F34" i="1"/>
  <c r="J33" i="1"/>
  <c r="I33" i="1"/>
  <c r="H33" i="1"/>
  <c r="G33" i="1"/>
  <c r="F33" i="1"/>
  <c r="E33" i="1"/>
  <c r="D33" i="1"/>
  <c r="J27" i="1"/>
  <c r="W27" i="1"/>
  <c r="V27" i="1"/>
  <c r="U27" i="1"/>
  <c r="T27" i="1"/>
  <c r="S27" i="1"/>
  <c r="R27" i="1"/>
  <c r="Q27" i="1"/>
  <c r="P27" i="1"/>
  <c r="J22" i="1"/>
  <c r="J19" i="1"/>
  <c r="J18" i="1"/>
  <c r="W16" i="1"/>
  <c r="V15" i="1"/>
  <c r="U15" i="1"/>
  <c r="T15" i="1"/>
  <c r="S15" i="1"/>
  <c r="R15" i="1"/>
  <c r="Q15" i="1"/>
  <c r="P15" i="1"/>
  <c r="J13" i="1"/>
  <c r="J12" i="1"/>
  <c r="J11" i="1"/>
  <c r="W10" i="1"/>
  <c r="V10" i="1"/>
  <c r="U10" i="1"/>
  <c r="H52" i="1" s="1"/>
  <c r="T10" i="1"/>
  <c r="G52" i="1" s="1"/>
  <c r="S10" i="1"/>
  <c r="R10" i="1"/>
  <c r="Q10" i="1"/>
  <c r="D52" i="1" s="1"/>
  <c r="P10" i="1"/>
  <c r="C52" i="1" s="1"/>
  <c r="J9" i="1"/>
  <c r="J8" i="1"/>
  <c r="I7" i="1"/>
  <c r="V69" i="1" s="1"/>
  <c r="H7" i="1"/>
  <c r="G7" i="1"/>
  <c r="F7" i="1"/>
  <c r="S70" i="1" s="1"/>
  <c r="E7" i="1"/>
  <c r="D7" i="1"/>
  <c r="C7" i="1"/>
  <c r="V6" i="1"/>
  <c r="V58" i="1" s="1"/>
  <c r="U6" i="1"/>
  <c r="T6" i="1"/>
  <c r="T11" i="1" s="1"/>
  <c r="S6" i="1"/>
  <c r="R6" i="1"/>
  <c r="Q6" i="1"/>
  <c r="P6" i="1"/>
  <c r="P11" i="1" s="1"/>
  <c r="I6" i="1"/>
  <c r="H6" i="1"/>
  <c r="G6" i="1"/>
  <c r="F6" i="1"/>
  <c r="W5" i="1"/>
  <c r="I5" i="1"/>
  <c r="H5" i="1"/>
  <c r="G5" i="1"/>
  <c r="F5" i="1"/>
  <c r="E5" i="1"/>
  <c r="D5" i="1"/>
  <c r="W4" i="1"/>
  <c r="J4" i="1"/>
  <c r="K37" i="1" l="1"/>
  <c r="K42" i="1" s="1"/>
  <c r="L37" i="1" s="1"/>
  <c r="L42" i="1" s="1"/>
  <c r="K55" i="1"/>
  <c r="S46" i="1"/>
  <c r="K46" i="1"/>
  <c r="K47" i="1" s="1"/>
  <c r="J46" i="1"/>
  <c r="J47" i="1" s="1"/>
  <c r="Q51" i="1"/>
  <c r="Q12" i="1" s="1"/>
  <c r="K5" i="1"/>
  <c r="J6" i="1"/>
  <c r="X11" i="1"/>
  <c r="X64" i="1" s="1"/>
  <c r="X61" i="1"/>
  <c r="X72" i="1"/>
  <c r="X71" i="1"/>
  <c r="V46" i="1"/>
  <c r="R51" i="1"/>
  <c r="R12" i="1" s="1"/>
  <c r="W38" i="1"/>
  <c r="W46" i="1" s="1"/>
  <c r="X74" i="1" s="1"/>
  <c r="H47" i="1"/>
  <c r="I47" i="1"/>
  <c r="C47" i="1"/>
  <c r="D47" i="1"/>
  <c r="J7" i="1"/>
  <c r="W70" i="1" s="1"/>
  <c r="S51" i="1"/>
  <c r="S12" i="1" s="1"/>
  <c r="E47" i="1"/>
  <c r="F47" i="1"/>
  <c r="G47" i="1"/>
  <c r="W60" i="1"/>
  <c r="X60" i="1"/>
  <c r="X62" i="1"/>
  <c r="X66" i="1"/>
  <c r="X65" i="1"/>
  <c r="W72" i="1"/>
  <c r="T69" i="1"/>
  <c r="T51" i="1"/>
  <c r="T12" i="1" s="1"/>
  <c r="U51" i="1"/>
  <c r="U12" i="1" s="1"/>
  <c r="R69" i="1"/>
  <c r="X51" i="1"/>
  <c r="X12" i="1" s="1"/>
  <c r="X52" i="1"/>
  <c r="E71" i="1"/>
  <c r="W6" i="1"/>
  <c r="W68" i="1"/>
  <c r="J5" i="1"/>
  <c r="R58" i="1"/>
  <c r="R61" i="1" s="1"/>
  <c r="R11" i="1"/>
  <c r="S11" i="1"/>
  <c r="S58" i="1"/>
  <c r="S61" i="1" s="1"/>
  <c r="V61" i="1"/>
  <c r="V11" i="1"/>
  <c r="P69" i="1"/>
  <c r="P70" i="1"/>
  <c r="C14" i="1"/>
  <c r="C17" i="1" s="1"/>
  <c r="E52" i="1"/>
  <c r="E55" i="1" s="1"/>
  <c r="R66" i="1"/>
  <c r="R65" i="1"/>
  <c r="I52" i="1"/>
  <c r="I55" i="1" s="1"/>
  <c r="V66" i="1"/>
  <c r="V65" i="1"/>
  <c r="D71" i="1"/>
  <c r="Q46" i="1"/>
  <c r="H71" i="1"/>
  <c r="U46" i="1"/>
  <c r="V74" i="1" s="1"/>
  <c r="P52" i="1"/>
  <c r="R52" i="1"/>
  <c r="V52" i="1"/>
  <c r="T52" i="1"/>
  <c r="D55" i="1"/>
  <c r="H55" i="1"/>
  <c r="R60" i="1"/>
  <c r="S60" i="1"/>
  <c r="P51" i="1"/>
  <c r="P12" i="1" s="1"/>
  <c r="V51" i="1"/>
  <c r="V12" i="1" s="1"/>
  <c r="G14" i="1"/>
  <c r="G17" i="1" s="1"/>
  <c r="S69" i="1"/>
  <c r="S71" i="1" s="1"/>
  <c r="T70" i="1"/>
  <c r="J52" i="1"/>
  <c r="J55" i="1" s="1"/>
  <c r="W15" i="1"/>
  <c r="W51" i="1" s="1"/>
  <c r="P46" i="1"/>
  <c r="C71" i="1"/>
  <c r="Q69" i="1"/>
  <c r="Q70" i="1"/>
  <c r="D14" i="1"/>
  <c r="U69" i="1"/>
  <c r="U70" i="1"/>
  <c r="H14" i="1"/>
  <c r="K16" i="1" s="1"/>
  <c r="Q11" i="1"/>
  <c r="Q58" i="1"/>
  <c r="Q61" i="1" s="1"/>
  <c r="Q52" i="1"/>
  <c r="U11" i="1"/>
  <c r="U52" i="1"/>
  <c r="U58" i="1"/>
  <c r="U61" i="1" s="1"/>
  <c r="Q66" i="1"/>
  <c r="U66" i="1"/>
  <c r="S52" i="1"/>
  <c r="F71" i="1"/>
  <c r="F52" i="1"/>
  <c r="F55" i="1" s="1"/>
  <c r="S66" i="1"/>
  <c r="S65" i="1"/>
  <c r="T46" i="1"/>
  <c r="G71" i="1"/>
  <c r="C55" i="1"/>
  <c r="G55" i="1"/>
  <c r="R46" i="1"/>
  <c r="P58" i="1"/>
  <c r="P61" i="1" s="1"/>
  <c r="T58" i="1"/>
  <c r="T61" i="1" s="1"/>
  <c r="P60" i="1"/>
  <c r="T60" i="1"/>
  <c r="E14" i="1"/>
  <c r="I14" i="1"/>
  <c r="Q60" i="1"/>
  <c r="U60" i="1"/>
  <c r="P65" i="1"/>
  <c r="T65" i="1"/>
  <c r="P66" i="1"/>
  <c r="T66" i="1"/>
  <c r="R70" i="1"/>
  <c r="V70" i="1"/>
  <c r="V71" i="1" s="1"/>
  <c r="F14" i="1"/>
  <c r="Q65" i="1"/>
  <c r="U65" i="1"/>
  <c r="J14" i="1" l="1"/>
  <c r="K15" i="1" s="1"/>
  <c r="S74" i="1"/>
  <c r="W69" i="1"/>
  <c r="W71" i="1" s="1"/>
  <c r="W74" i="1"/>
  <c r="W65" i="1"/>
  <c r="W58" i="1"/>
  <c r="U74" i="1"/>
  <c r="R71" i="1"/>
  <c r="W66" i="1"/>
  <c r="W12" i="1"/>
  <c r="T71" i="1"/>
  <c r="P71" i="1"/>
  <c r="C21" i="1"/>
  <c r="P64" i="1" s="1"/>
  <c r="U71" i="1"/>
  <c r="W61" i="1"/>
  <c r="T74" i="1"/>
  <c r="W52" i="1"/>
  <c r="G16" i="1"/>
  <c r="T62" i="1"/>
  <c r="P62" i="1"/>
  <c r="W11" i="1"/>
  <c r="U62" i="1"/>
  <c r="V62" i="1"/>
  <c r="G15" i="1"/>
  <c r="G21" i="1"/>
  <c r="T64" i="1" s="1"/>
  <c r="J21" i="1"/>
  <c r="J17" i="1"/>
  <c r="R74" i="1"/>
  <c r="E17" i="1"/>
  <c r="E21" i="1"/>
  <c r="E15" i="1"/>
  <c r="R62" i="1"/>
  <c r="D17" i="1"/>
  <c r="D21" i="1"/>
  <c r="D15" i="1"/>
  <c r="P74" i="1"/>
  <c r="Q74" i="1"/>
  <c r="F21" i="1"/>
  <c r="F16" i="1"/>
  <c r="F15" i="1"/>
  <c r="F17" i="1"/>
  <c r="S62" i="1"/>
  <c r="I17" i="1"/>
  <c r="I21" i="1"/>
  <c r="I16" i="1"/>
  <c r="I15" i="1"/>
  <c r="H17" i="1"/>
  <c r="H21" i="1"/>
  <c r="H16" i="1"/>
  <c r="H15" i="1"/>
  <c r="Q71" i="1"/>
  <c r="Q62" i="1"/>
  <c r="W62" i="1" l="1"/>
  <c r="J15" i="1"/>
  <c r="J16" i="1"/>
  <c r="C23" i="1"/>
  <c r="P63" i="1" s="1"/>
  <c r="K28" i="1"/>
  <c r="K26" i="1"/>
  <c r="X63" i="1"/>
  <c r="J23" i="1"/>
  <c r="K24" i="1" s="1"/>
  <c r="W64" i="1"/>
  <c r="G23" i="1"/>
  <c r="T63" i="1" s="1"/>
  <c r="H23" i="1"/>
  <c r="K25" i="1" s="1"/>
  <c r="U64" i="1"/>
  <c r="I23" i="1"/>
  <c r="V64" i="1"/>
  <c r="E23" i="1"/>
  <c r="R64" i="1"/>
  <c r="S64" i="1"/>
  <c r="F23" i="1"/>
  <c r="D23" i="1"/>
  <c r="Q64" i="1"/>
  <c r="C28" i="1" l="1"/>
  <c r="C26" i="1"/>
  <c r="J28" i="1"/>
  <c r="K29" i="1" s="1"/>
  <c r="J24" i="1"/>
  <c r="G26" i="1"/>
  <c r="G28" i="1"/>
  <c r="G24" i="1"/>
  <c r="W63" i="1"/>
  <c r="J25" i="1"/>
  <c r="J26" i="1"/>
  <c r="I26" i="1"/>
  <c r="I25" i="1"/>
  <c r="V63" i="1"/>
  <c r="I24" i="1"/>
  <c r="I28" i="1"/>
  <c r="E26" i="1"/>
  <c r="R63" i="1"/>
  <c r="E24" i="1"/>
  <c r="E28" i="1"/>
  <c r="S63" i="1"/>
  <c r="F24" i="1"/>
  <c r="F28" i="1"/>
  <c r="G29" i="1" s="1"/>
  <c r="F26" i="1"/>
  <c r="F25" i="1"/>
  <c r="D28" i="1"/>
  <c r="D29" i="1" s="1"/>
  <c r="D26" i="1"/>
  <c r="Q63" i="1"/>
  <c r="D24" i="1"/>
  <c r="G25" i="1"/>
  <c r="H28" i="1"/>
  <c r="K30" i="1" s="1"/>
  <c r="H26" i="1"/>
  <c r="H25" i="1"/>
  <c r="U63" i="1"/>
  <c r="H24" i="1"/>
  <c r="J30" i="1" l="1"/>
  <c r="J29" i="1"/>
  <c r="E29" i="1"/>
  <c r="F30" i="1"/>
  <c r="F29" i="1"/>
  <c r="G30" i="1"/>
  <c r="H30" i="1"/>
  <c r="H29" i="1"/>
  <c r="I29" i="1"/>
  <c r="I30" i="1"/>
</calcChain>
</file>

<file path=xl/sharedStrings.xml><?xml version="1.0" encoding="utf-8"?>
<sst xmlns="http://schemas.openxmlformats.org/spreadsheetml/2006/main" count="210" uniqueCount="124">
  <si>
    <t>INCOME STATEMENT</t>
  </si>
  <si>
    <t>BALANCE SHEET</t>
  </si>
  <si>
    <t>Y/E, Mar (Rs. mn)</t>
  </si>
  <si>
    <t>FY17</t>
  </si>
  <si>
    <t>FY18</t>
  </si>
  <si>
    <t>FY19</t>
  </si>
  <si>
    <t>FY20</t>
  </si>
  <si>
    <t>FY21</t>
  </si>
  <si>
    <t>FY22</t>
  </si>
  <si>
    <t>FY23</t>
  </si>
  <si>
    <t>FY24</t>
  </si>
  <si>
    <t>FY16</t>
  </si>
  <si>
    <t>Revenue from Operations</t>
  </si>
  <si>
    <t>Share Capital</t>
  </si>
  <si>
    <t>Growth (%)</t>
  </si>
  <si>
    <t>Other Equity</t>
  </si>
  <si>
    <t>CAGR (%) - 3 years</t>
  </si>
  <si>
    <t>Networth/Shareholders Fund/ Book Value</t>
  </si>
  <si>
    <t>Total Expenses</t>
  </si>
  <si>
    <t>Minority Int</t>
  </si>
  <si>
    <t>Cost of Materials Consumed</t>
  </si>
  <si>
    <t>Long Term Debt</t>
  </si>
  <si>
    <t>Purchases of stock-in-trade</t>
  </si>
  <si>
    <t>Short Term Debt</t>
  </si>
  <si>
    <t>Excise Duty on sale of goods</t>
  </si>
  <si>
    <t>Loans</t>
  </si>
  <si>
    <t>Changes in Inventories</t>
  </si>
  <si>
    <t>Capital Employed</t>
  </si>
  <si>
    <t>Employee benefits expenses</t>
  </si>
  <si>
    <t>Other expenses</t>
  </si>
  <si>
    <t>EBITDA</t>
  </si>
  <si>
    <t>NON-CURRENT ASSETS</t>
  </si>
  <si>
    <t>Property, plant &amp; equipment</t>
  </si>
  <si>
    <t>EBITDA Margin (%)</t>
  </si>
  <si>
    <t>Intangible Assets</t>
  </si>
  <si>
    <t>Depreciation and amortisation expenses</t>
  </si>
  <si>
    <t>Capital Work-in-progress</t>
  </si>
  <si>
    <t>Finance costs</t>
  </si>
  <si>
    <t>Right to use assets</t>
  </si>
  <si>
    <t>Other Income</t>
  </si>
  <si>
    <t>Financial assets</t>
  </si>
  <si>
    <t>PBT</t>
  </si>
  <si>
    <t>Tax Expense</t>
  </si>
  <si>
    <t>(ii) Other financial assets</t>
  </si>
  <si>
    <t>PAT</t>
  </si>
  <si>
    <t>Other non-current assets</t>
  </si>
  <si>
    <t>CURRENT ASSETS, LOANS &amp; ADVANCES</t>
  </si>
  <si>
    <t>Inventories</t>
  </si>
  <si>
    <t>PAT Margin (%)</t>
  </si>
  <si>
    <t>Other Comprehensive Income</t>
  </si>
  <si>
    <t>(i) Investment in Liquid Scheme of MF</t>
  </si>
  <si>
    <t>Total Comprehensive Income</t>
  </si>
  <si>
    <t>(ii)Trade Receivable</t>
  </si>
  <si>
    <t>(iii)Cash and cash equivalents</t>
  </si>
  <si>
    <t>CAGR (%) - 3 Years</t>
  </si>
  <si>
    <t>(iv)Other bank balances</t>
  </si>
  <si>
    <t>(v)Loans</t>
  </si>
  <si>
    <t>EPS</t>
  </si>
  <si>
    <t>(vi) Other financial assets</t>
  </si>
  <si>
    <t>Current tax assets (net)</t>
  </si>
  <si>
    <t>Other current assets</t>
  </si>
  <si>
    <t>CURRENT LIABILITIES &amp; PROVISIONS</t>
  </si>
  <si>
    <t>CASH FLOW (INR Mn)</t>
  </si>
  <si>
    <t>Financial liabilities</t>
  </si>
  <si>
    <t>Cash and Cash Equivalents at beginning of the year</t>
  </si>
  <si>
    <t>(i)Trade Payables</t>
  </si>
  <si>
    <t>Cash Flow From Operating Activities</t>
  </si>
  <si>
    <t>(ii)Other Financial liabilities</t>
  </si>
  <si>
    <t>Cash Flow from Investing Activities</t>
  </si>
  <si>
    <t>(iii)Lease Liabilities</t>
  </si>
  <si>
    <t>Cash Flow From Financing Activities</t>
  </si>
  <si>
    <t>Other Current liabilities</t>
  </si>
  <si>
    <t>Net Inc./(Dec.) in Cash and Cash Equivalents</t>
  </si>
  <si>
    <t>Provisions</t>
  </si>
  <si>
    <t>Cash and Cash Equivalents at end of the year</t>
  </si>
  <si>
    <t>Current Tax Liabilities (net)</t>
  </si>
  <si>
    <t>NET CURRENT ASSETS</t>
  </si>
  <si>
    <t>Our Calculations</t>
  </si>
  <si>
    <t>Long term provision</t>
  </si>
  <si>
    <t xml:space="preserve">Operating Cash Inflow </t>
  </si>
  <si>
    <t>Other Financial liabilities</t>
  </si>
  <si>
    <t>Capital Expenditure</t>
  </si>
  <si>
    <t>Lease Liabilities</t>
  </si>
  <si>
    <t>FCF</t>
  </si>
  <si>
    <t>Deferred tax liability (net)</t>
  </si>
  <si>
    <t>TOTAL ASSETS</t>
  </si>
  <si>
    <t>TOTAL LIABILITIES</t>
  </si>
  <si>
    <t>No of Shares</t>
  </si>
  <si>
    <t>Market Cap</t>
  </si>
  <si>
    <t>KEY RATIOS</t>
  </si>
  <si>
    <t>Total Debt</t>
  </si>
  <si>
    <t>Cash</t>
  </si>
  <si>
    <t>CMP(INR)</t>
  </si>
  <si>
    <t>Bank</t>
  </si>
  <si>
    <t>EPS (INR)</t>
  </si>
  <si>
    <t>EV</t>
  </si>
  <si>
    <t>BVPS (INR)</t>
  </si>
  <si>
    <t>DPS (INR)</t>
  </si>
  <si>
    <t>P/E (x)</t>
  </si>
  <si>
    <t>P/BV (x)</t>
  </si>
  <si>
    <t>EV/EBIDTA (x)</t>
  </si>
  <si>
    <t>NA</t>
  </si>
  <si>
    <t>ROE (%)</t>
  </si>
  <si>
    <t>ROCE (%)</t>
  </si>
  <si>
    <t xml:space="preserve"> </t>
  </si>
  <si>
    <t>Gross D/E (x)</t>
  </si>
  <si>
    <t>Net D/E (x)</t>
  </si>
  <si>
    <t>Dividend Yield (%)</t>
  </si>
  <si>
    <t>Debtor Days</t>
  </si>
  <si>
    <t>Creditor Days</t>
  </si>
  <si>
    <t>Inventory Days</t>
  </si>
  <si>
    <t>Cash Conversion cycle</t>
  </si>
  <si>
    <t>Fixed Asset Turnover</t>
  </si>
  <si>
    <t>Interest Coverage Ratio</t>
  </si>
  <si>
    <t>Working Capital Days</t>
  </si>
  <si>
    <t>FY25</t>
  </si>
  <si>
    <t>(i) Investment</t>
  </si>
  <si>
    <t>(ii) Loans</t>
  </si>
  <si>
    <t>lntangible Assets Under Devetopment</t>
  </si>
  <si>
    <t>H1-FY26</t>
  </si>
  <si>
    <t>Supreme Petrochem Ltd</t>
  </si>
  <si>
    <t>Non-Current Tax Assets (Net)</t>
  </si>
  <si>
    <t>TTM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</si>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</sst>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Tahoma"/>
      <family val="2"/>
    </font>
    <font>
      <sz val="8"/>
      <name val="Calibri"/>
      <family val="2"/>
      <scheme val="minor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F7F7F"/>
        <bgColor rgb="FF7F7F7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2" fillId="0" borderId="1" xfId="0" applyNumberFormat="1" applyFont="1" applyBorder="1"/>
    <xf numFmtId="0" fontId="0" fillId="0" borderId="1" xfId="0" applyBorder="1"/>
    <xf numFmtId="43" fontId="0" fillId="0" borderId="1" xfId="0" applyNumberFormat="1" applyBorder="1"/>
    <xf numFmtId="0" fontId="4" fillId="2" borderId="1" xfId="0" applyFont="1" applyFill="1" applyBorder="1"/>
    <xf numFmtId="10" fontId="4" fillId="2" borderId="1" xfId="2" applyNumberFormat="1" applyFont="1" applyFill="1" applyBorder="1"/>
    <xf numFmtId="43" fontId="5" fillId="0" borderId="1" xfId="0" applyNumberFormat="1" applyFont="1" applyBorder="1"/>
    <xf numFmtId="164" fontId="4" fillId="2" borderId="1" xfId="0" applyNumberFormat="1" applyFont="1" applyFill="1" applyBorder="1"/>
    <xf numFmtId="0" fontId="2" fillId="2" borderId="1" xfId="0" applyFont="1" applyFill="1" applyBorder="1"/>
    <xf numFmtId="43" fontId="2" fillId="2" borderId="1" xfId="0" applyNumberFormat="1" applyFont="1" applyFill="1" applyBorder="1"/>
    <xf numFmtId="43" fontId="5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43" fontId="0" fillId="3" borderId="1" xfId="0" applyNumberFormat="1" applyFill="1" applyBorder="1"/>
    <xf numFmtId="10" fontId="2" fillId="2" borderId="1" xfId="2" applyNumberFormat="1" applyFont="1" applyFill="1" applyBorder="1"/>
    <xf numFmtId="43" fontId="0" fillId="0" borderId="1" xfId="1" applyFont="1" applyBorder="1"/>
    <xf numFmtId="0" fontId="0" fillId="0" borderId="1" xfId="0" applyBorder="1" applyAlignment="1">
      <alignment horizontal="left" indent="1"/>
    </xf>
    <xf numFmtId="43" fontId="5" fillId="3" borderId="1" xfId="0" applyNumberFormat="1" applyFont="1" applyFill="1" applyBorder="1"/>
    <xf numFmtId="2" fontId="0" fillId="0" borderId="1" xfId="0" applyNumberFormat="1" applyBorder="1"/>
    <xf numFmtId="2" fontId="0" fillId="0" borderId="1" xfId="2" applyNumberFormat="1" applyFont="1" applyFill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6" fillId="2" borderId="1" xfId="0" applyFont="1" applyFill="1" applyBorder="1"/>
    <xf numFmtId="0" fontId="0" fillId="2" borderId="1" xfId="0" applyFill="1" applyBorder="1"/>
    <xf numFmtId="10" fontId="0" fillId="2" borderId="1" xfId="2" applyNumberFormat="1" applyFont="1" applyFill="1" applyBorder="1"/>
    <xf numFmtId="0" fontId="0" fillId="0" borderId="2" xfId="0" applyBorder="1"/>
    <xf numFmtId="2" fontId="2" fillId="2" borderId="1" xfId="0" applyNumberFormat="1" applyFont="1" applyFill="1" applyBorder="1"/>
    <xf numFmtId="2" fontId="2" fillId="2" borderId="1" xfId="2" applyNumberFormat="1" applyFont="1" applyFill="1" applyBorder="1"/>
    <xf numFmtId="0" fontId="0" fillId="0" borderId="1" xfId="0" applyBorder="1" applyAlignment="1">
      <alignment wrapText="1"/>
    </xf>
    <xf numFmtId="0" fontId="0" fillId="0" borderId="4" xfId="0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43" fontId="3" fillId="0" borderId="1" xfId="1" applyFont="1" applyFill="1" applyBorder="1"/>
    <xf numFmtId="0" fontId="5" fillId="0" borderId="1" xfId="0" applyFont="1" applyBorder="1"/>
    <xf numFmtId="43" fontId="5" fillId="0" borderId="1" xfId="1" applyFont="1" applyFill="1" applyBorder="1"/>
    <xf numFmtId="0" fontId="3" fillId="2" borderId="1" xfId="0" applyFont="1" applyFill="1" applyBorder="1"/>
    <xf numFmtId="43" fontId="3" fillId="2" borderId="1" xfId="1" applyFont="1" applyFill="1" applyBorder="1"/>
    <xf numFmtId="0" fontId="5" fillId="0" borderId="0" xfId="0" applyFont="1"/>
    <xf numFmtId="43" fontId="5" fillId="0" borderId="0" xfId="1" applyFont="1" applyFill="1" applyBorder="1"/>
    <xf numFmtId="3" fontId="0" fillId="0" borderId="1" xfId="0" applyNumberFormat="1" applyBorder="1"/>
    <xf numFmtId="165" fontId="0" fillId="0" borderId="1" xfId="1" applyNumberFormat="1" applyFont="1" applyBorder="1"/>
    <xf numFmtId="165" fontId="2" fillId="2" borderId="1" xfId="1" applyNumberFormat="1" applyFont="1" applyFill="1" applyBorder="1"/>
    <xf numFmtId="43" fontId="5" fillId="2" borderId="1" xfId="0" applyNumberFormat="1" applyFont="1" applyFill="1" applyBorder="1"/>
    <xf numFmtId="165" fontId="0" fillId="0" borderId="0" xfId="1" applyNumberFormat="1" applyFont="1" applyFill="1" applyBorder="1"/>
    <xf numFmtId="2" fontId="0" fillId="0" borderId="0" xfId="0" applyNumberFormat="1"/>
    <xf numFmtId="2" fontId="0" fillId="2" borderId="1" xfId="0" applyNumberFormat="1" applyFill="1" applyBorder="1"/>
    <xf numFmtId="43" fontId="0" fillId="2" borderId="1" xfId="0" applyNumberFormat="1" applyFill="1" applyBorder="1"/>
    <xf numFmtId="165" fontId="2" fillId="0" borderId="0" xfId="1" applyNumberFormat="1" applyFont="1" applyFill="1" applyBorder="1"/>
    <xf numFmtId="10" fontId="5" fillId="2" borderId="1" xfId="2" applyNumberFormat="1" applyFont="1" applyFill="1" applyBorder="1"/>
    <xf numFmtId="2" fontId="5" fillId="2" borderId="1" xfId="0" applyNumberFormat="1" applyFont="1" applyFill="1" applyBorder="1"/>
    <xf numFmtId="1" fontId="0" fillId="2" borderId="1" xfId="0" applyNumberFormat="1" applyFill="1" applyBorder="1"/>
    <xf numFmtId="2" fontId="5" fillId="2" borderId="1" xfId="2" applyNumberFormat="1" applyFont="1" applyFill="1" applyBorder="1"/>
    <xf numFmtId="2" fontId="5" fillId="2" borderId="1" xfId="0" applyNumberFormat="1" applyFont="1" applyFill="1" applyBorder="1" applyAlignment="1">
      <alignment horizontal="right"/>
    </xf>
    <xf numFmtId="43" fontId="0" fillId="0" borderId="0" xfId="0" applyNumberFormat="1"/>
    <xf numFmtId="43" fontId="2" fillId="0" borderId="0" xfId="0" applyNumberFormat="1" applyFont="1"/>
    <xf numFmtId="43" fontId="5" fillId="2" borderId="1" xfId="0" applyNumberFormat="1" applyFon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43" fontId="0" fillId="2" borderId="1" xfId="0" applyNumberFormat="1" applyFill="1" applyBorder="1" applyAlignment="1">
      <alignment horizontal="right"/>
    </xf>
    <xf numFmtId="10" fontId="0" fillId="2" borderId="1" xfId="2" applyNumberFormat="1" applyFont="1" applyFill="1" applyBorder="1" applyAlignment="1">
      <alignment horizontal="right"/>
    </xf>
    <xf numFmtId="43" fontId="0" fillId="0" borderId="1" xfId="1" applyFont="1" applyFill="1" applyBorder="1"/>
    <xf numFmtId="43" fontId="5" fillId="0" borderId="3" xfId="1" applyFont="1" applyFill="1" applyBorder="1"/>
    <xf numFmtId="43" fontId="0" fillId="3" borderId="1" xfId="1" applyFont="1" applyFill="1" applyBorder="1"/>
    <xf numFmtId="43" fontId="2" fillId="2" borderId="1" xfId="1" applyFont="1" applyFill="1" applyBorder="1"/>
    <xf numFmtId="3" fontId="0" fillId="0" borderId="2" xfId="0" applyNumberFormat="1" applyBorder="1"/>
    <xf numFmtId="43" fontId="0" fillId="0" borderId="2" xfId="1" applyFont="1" applyFill="1" applyBorder="1"/>
    <xf numFmtId="165" fontId="0" fillId="0" borderId="2" xfId="1" applyNumberFormat="1" applyFont="1" applyFill="1" applyBorder="1"/>
    <xf numFmtId="2" fontId="0" fillId="0" borderId="2" xfId="0" applyNumberFormat="1" applyBorder="1"/>
    <xf numFmtId="43" fontId="3" fillId="2" borderId="2" xfId="1" applyFont="1" applyFill="1" applyBorder="1"/>
    <xf numFmtId="43" fontId="2" fillId="2" borderId="2" xfId="0" applyNumberFormat="1" applyFont="1" applyFill="1" applyBorder="1"/>
    <xf numFmtId="43" fontId="3" fillId="0" borderId="2" xfId="1" applyFont="1" applyFill="1" applyBorder="1"/>
    <xf numFmtId="43" fontId="5" fillId="0" borderId="2" xfId="1" applyFont="1" applyFill="1" applyBorder="1"/>
    <xf numFmtId="43" fontId="0" fillId="0" borderId="2" xfId="0" applyNumberFormat="1" applyBorder="1"/>
    <xf numFmtId="10" fontId="4" fillId="2" borderId="2" xfId="2" applyNumberFormat="1" applyFont="1" applyFill="1" applyBorder="1"/>
    <xf numFmtId="10" fontId="2" fillId="2" borderId="2" xfId="2" applyNumberFormat="1" applyFont="1" applyFill="1" applyBorder="1"/>
    <xf numFmtId="10" fontId="0" fillId="2" borderId="2" xfId="2" applyNumberFormat="1" applyFont="1" applyFill="1" applyBorder="1"/>
    <xf numFmtId="2" fontId="2" fillId="2" borderId="2" xfId="2" applyNumberFormat="1" applyFont="1" applyFill="1" applyBorder="1"/>
    <xf numFmtId="43" fontId="2" fillId="0" borderId="2" xfId="0" applyNumberFormat="1" applyFont="1" applyBorder="1"/>
    <xf numFmtId="165" fontId="2" fillId="2" borderId="2" xfId="1" applyNumberFormat="1" applyFont="1" applyFill="1" applyBorder="1"/>
    <xf numFmtId="43" fontId="2" fillId="3" borderId="1" xfId="0" applyNumberFormat="1" applyFont="1" applyFill="1" applyBorder="1"/>
    <xf numFmtId="43" fontId="3" fillId="3" borderId="2" xfId="1" applyFont="1" applyFill="1" applyBorder="1"/>
    <xf numFmtId="3" fontId="0" fillId="3" borderId="1" xfId="0" applyNumberFormat="1" applyFill="1" applyBorder="1"/>
    <xf numFmtId="2" fontId="0" fillId="3" borderId="2" xfId="0" applyNumberFormat="1" applyFill="1" applyBorder="1"/>
    <xf numFmtId="0" fontId="2" fillId="3" borderId="1" xfId="0" applyFont="1" applyFill="1" applyBorder="1"/>
    <xf numFmtId="1" fontId="0" fillId="2" borderId="1" xfId="0" applyNumberFormat="1" applyFill="1" applyBorder="1" applyAlignment="1">
      <alignment horizontal="right"/>
    </xf>
    <xf numFmtId="4" fontId="0" fillId="0" borderId="0" xfId="0" applyNumberFormat="1"/>
    <xf numFmtId="43" fontId="3" fillId="2" borderId="2" xfId="0" applyNumberFormat="1" applyFont="1" applyFill="1" applyBorder="1"/>
    <xf numFmtId="0" fontId="2" fillId="0" borderId="0" xfId="0" applyFont="1" applyAlignment="1">
      <alignment horizontal="center"/>
    </xf>
    <xf numFmtId="0" fontId="5" fillId="2" borderId="1" xfId="0" applyFont="1" applyFill="1" applyBorder="1"/>
    <xf numFmtId="2" fontId="0" fillId="2" borderId="3" xfId="0" applyNumberFormat="1" applyFill="1" applyBorder="1" applyAlignment="1">
      <alignment horizontal="right"/>
    </xf>
    <xf numFmtId="2" fontId="5" fillId="2" borderId="3" xfId="0" applyNumberFormat="1" applyFont="1" applyFill="1" applyBorder="1" applyAlignment="1">
      <alignment horizontal="right"/>
    </xf>
    <xf numFmtId="0" fontId="0" fillId="2" borderId="5" xfId="0" applyFill="1" applyBorder="1"/>
    <xf numFmtId="2" fontId="0" fillId="2" borderId="5" xfId="0" applyNumberFormat="1" applyFill="1" applyBorder="1"/>
    <xf numFmtId="2" fontId="0" fillId="3" borderId="1" xfId="0" applyNumberFormat="1" applyFill="1" applyBorder="1"/>
    <xf numFmtId="0" fontId="3" fillId="3" borderId="1" xfId="0" applyFont="1" applyFill="1" applyBorder="1" applyAlignment="1">
      <alignment horizontal="left"/>
    </xf>
    <xf numFmtId="2" fontId="5" fillId="3" borderId="1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3" borderId="1" xfId="1" applyFont="1" applyFill="1" applyBorder="1"/>
    <xf numFmtId="165" fontId="0" fillId="0" borderId="1" xfId="1" applyNumberFormat="1" applyFont="1" applyFill="1" applyBorder="1"/>
    <xf numFmtId="0" fontId="2" fillId="0" borderId="0" xfId="0" applyFont="1"/>
    <xf numFmtId="10" fontId="5" fillId="2" borderId="1" xfId="2" applyNumberFormat="1" applyFont="1" applyFill="1" applyBorder="1" applyAlignment="1">
      <alignment horizontal="right"/>
    </xf>
    <xf numFmtId="2" fontId="5" fillId="2" borderId="1" xfId="2" applyNumberFormat="1" applyFont="1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4" borderId="8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" fontId="0" fillId="0" borderId="1" xfId="0" applyNumberFormat="1" applyBorder="1"/>
    <xf numFmtId="2" fontId="0" fillId="3" borderId="1" xfId="0" applyNumberFormat="1" applyFill="1" applyBorder="1" applyAlignment="1">
      <alignment horizontal="right"/>
    </xf>
    <xf numFmtId="165" fontId="2" fillId="2" borderId="1" xfId="1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43" fontId="3" fillId="2" borderId="1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74"/>
  <sheetViews>
    <sheetView tabSelected="1" topLeftCell="A7" zoomScale="70" zoomScaleNormal="70" workbookViewId="0">
      <selection activeCell="H21" sqref="H21"/>
    </sheetView>
  </sheetViews>
  <sheetFormatPr defaultRowHeight="14.5" x14ac:dyDescent="0.35"/>
  <cols>
    <col min="2" max="2" width="41.1796875" customWidth="1"/>
    <col min="3" max="3" width="14.81640625" bestFit="1" customWidth="1"/>
    <col min="4" max="4" width="15.26953125" bestFit="1" customWidth="1"/>
    <col min="5" max="5" width="14.81640625" bestFit="1" customWidth="1"/>
    <col min="6" max="6" width="15.26953125" bestFit="1" customWidth="1"/>
    <col min="7" max="7" width="14.81640625" bestFit="1" customWidth="1"/>
    <col min="8" max="9" width="15.26953125" bestFit="1" customWidth="1"/>
    <col min="10" max="10" width="18" customWidth="1"/>
    <col min="11" max="12" width="15.26953125" customWidth="1"/>
    <col min="13" max="13" width="9.81640625" customWidth="1"/>
    <col min="14" max="14" width="39.1796875" customWidth="1"/>
    <col min="15" max="15" width="11.54296875" customWidth="1"/>
    <col min="16" max="16" width="15.54296875" customWidth="1"/>
    <col min="17" max="17" width="14.26953125" customWidth="1"/>
    <col min="18" max="18" width="14.1796875" customWidth="1"/>
    <col min="19" max="20" width="14.26953125" customWidth="1"/>
    <col min="21" max="22" width="14.54296875" customWidth="1"/>
    <col min="23" max="23" width="15.54296875" customWidth="1"/>
    <col min="24" max="24" width="21.7265625" customWidth="1"/>
    <col min="25" max="25" width="14.1796875" customWidth="1"/>
    <col min="26" max="26" width="17.54296875" customWidth="1"/>
  </cols>
  <sheetData>
    <row r="1" spans="2:37" x14ac:dyDescent="0.35">
      <c r="H1" s="109" t="s">
        <v>120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</row>
    <row r="2" spans="2:37" x14ac:dyDescent="0.35">
      <c r="B2" s="107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89"/>
      <c r="N2" s="106" t="s">
        <v>1</v>
      </c>
      <c r="O2" s="106"/>
      <c r="P2" s="106"/>
      <c r="Q2" s="106"/>
      <c r="R2" s="106"/>
      <c r="S2" s="106"/>
      <c r="T2" s="106"/>
      <c r="U2" s="106"/>
      <c r="V2" s="106"/>
      <c r="W2" s="106"/>
    </row>
    <row r="3" spans="2:37" x14ac:dyDescent="0.35">
      <c r="B3" s="1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2" t="s">
        <v>115</v>
      </c>
      <c r="L3" s="2" t="s">
        <v>123</v>
      </c>
      <c r="N3" s="1" t="s">
        <v>2</v>
      </c>
      <c r="O3" s="2" t="s">
        <v>11</v>
      </c>
      <c r="P3" s="2" t="s">
        <v>3</v>
      </c>
      <c r="Q3" s="4" t="s">
        <v>4</v>
      </c>
      <c r="R3" s="4" t="s">
        <v>5</v>
      </c>
      <c r="S3" s="4" t="s">
        <v>6</v>
      </c>
      <c r="T3" s="4" t="s">
        <v>7</v>
      </c>
      <c r="U3" s="4" t="s">
        <v>8</v>
      </c>
      <c r="V3" s="2" t="s">
        <v>9</v>
      </c>
      <c r="W3" s="4" t="s">
        <v>10</v>
      </c>
      <c r="X3" s="4" t="s">
        <v>115</v>
      </c>
      <c r="Y3" s="4" t="s">
        <v>119</v>
      </c>
    </row>
    <row r="4" spans="2:37" x14ac:dyDescent="0.35">
      <c r="B4" s="1" t="s">
        <v>12</v>
      </c>
      <c r="C4" s="5">
        <v>32162.97</v>
      </c>
      <c r="D4" s="5">
        <v>31041.1</v>
      </c>
      <c r="E4" s="5">
        <v>31938.06</v>
      </c>
      <c r="F4" s="5">
        <v>27242.45</v>
      </c>
      <c r="G4" s="5">
        <v>31851.72</v>
      </c>
      <c r="H4" s="5">
        <v>50322.966</v>
      </c>
      <c r="I4" s="79">
        <v>52872.046999999999</v>
      </c>
      <c r="J4" s="79">
        <f>525334.48/10</f>
        <v>52533.447999999997</v>
      </c>
      <c r="K4" s="81">
        <v>60233.752</v>
      </c>
      <c r="L4" s="81">
        <v>37513.847000000002</v>
      </c>
      <c r="N4" s="6" t="s">
        <v>13</v>
      </c>
      <c r="O4" s="6"/>
      <c r="P4" s="7">
        <v>965.02</v>
      </c>
      <c r="Q4" s="7">
        <v>965.02</v>
      </c>
      <c r="R4" s="7">
        <v>965.02</v>
      </c>
      <c r="S4" s="7">
        <v>964.36099999999999</v>
      </c>
      <c r="T4" s="7">
        <v>940.20699999999999</v>
      </c>
      <c r="U4" s="6">
        <v>376.08</v>
      </c>
      <c r="V4" s="62">
        <v>376.08</v>
      </c>
      <c r="W4" s="62">
        <f>3760.83/10</f>
        <v>376.08299999999997</v>
      </c>
      <c r="X4" s="64">
        <v>376.08300000000003</v>
      </c>
      <c r="Y4" s="64">
        <v>376.08300000000003</v>
      </c>
    </row>
    <row r="5" spans="2:37" x14ac:dyDescent="0.35">
      <c r="B5" s="8" t="s">
        <v>14</v>
      </c>
      <c r="C5" s="9"/>
      <c r="D5" s="9">
        <f t="shared" ref="D5:H5" si="0">D4/C4-1</f>
        <v>-3.4880796145380977E-2</v>
      </c>
      <c r="E5" s="9">
        <f t="shared" si="0"/>
        <v>2.889588320001546E-2</v>
      </c>
      <c r="F5" s="9">
        <f t="shared" si="0"/>
        <v>-0.14702239271890649</v>
      </c>
      <c r="G5" s="9">
        <f t="shared" si="0"/>
        <v>0.16919440065045555</v>
      </c>
      <c r="H5" s="9">
        <f t="shared" si="0"/>
        <v>0.57991361220053417</v>
      </c>
      <c r="I5" s="75">
        <f>I4/H4-1</f>
        <v>5.0654426847574818E-2</v>
      </c>
      <c r="J5" s="75">
        <f>J4/I4-1</f>
        <v>-6.4041212552259363E-3</v>
      </c>
      <c r="K5" s="75">
        <f>K4/J4-1</f>
        <v>0.14657907091877931</v>
      </c>
      <c r="L5" s="9"/>
      <c r="N5" s="6" t="s">
        <v>15</v>
      </c>
      <c r="O5" s="6"/>
      <c r="P5" s="10">
        <v>4855.9830000000002</v>
      </c>
      <c r="Q5" s="10">
        <v>5490.8879999999999</v>
      </c>
      <c r="R5" s="10">
        <v>5459.2690000000002</v>
      </c>
      <c r="S5" s="10">
        <v>5768.41</v>
      </c>
      <c r="T5" s="10">
        <v>9708.241</v>
      </c>
      <c r="U5" s="6">
        <v>14780.24</v>
      </c>
      <c r="V5" s="63">
        <v>18062.580000000002</v>
      </c>
      <c r="W5" s="62">
        <f>198150.43/10</f>
        <v>19815.042999999998</v>
      </c>
      <c r="X5" s="64">
        <v>21936.800999999999</v>
      </c>
      <c r="Y5" s="64">
        <v>21822.77</v>
      </c>
    </row>
    <row r="6" spans="2:37" x14ac:dyDescent="0.35">
      <c r="B6" s="8" t="s">
        <v>16</v>
      </c>
      <c r="C6" s="11"/>
      <c r="D6" s="11"/>
      <c r="E6" s="9"/>
      <c r="F6" s="9">
        <f t="shared" ref="F6:I6" si="1">(F4/C4)^(1/3)-1</f>
        <v>-5.3842712061395126E-2</v>
      </c>
      <c r="G6" s="9">
        <f t="shared" si="1"/>
        <v>8.630110147204606E-3</v>
      </c>
      <c r="H6" s="9">
        <f t="shared" si="1"/>
        <v>0.16364158332634293</v>
      </c>
      <c r="I6" s="75">
        <f t="shared" si="1"/>
        <v>0.24736433039088257</v>
      </c>
      <c r="J6" s="75">
        <f>(J4/G4)^(1/3)-1</f>
        <v>0.18150166783026811</v>
      </c>
      <c r="K6" s="75">
        <f>(K4/H4)^(1/3)-1</f>
        <v>6.1755604496799954E-2</v>
      </c>
      <c r="L6" s="9"/>
      <c r="N6" s="12" t="s">
        <v>17</v>
      </c>
      <c r="O6" s="12"/>
      <c r="P6" s="13">
        <f t="shared" ref="P6:U6" si="2">P4+P5</f>
        <v>5821.0030000000006</v>
      </c>
      <c r="Q6" s="13">
        <f t="shared" si="2"/>
        <v>6455.9079999999994</v>
      </c>
      <c r="R6" s="13">
        <f t="shared" si="2"/>
        <v>6424.2890000000007</v>
      </c>
      <c r="S6" s="13">
        <f t="shared" si="2"/>
        <v>6732.7709999999997</v>
      </c>
      <c r="T6" s="13">
        <f t="shared" si="2"/>
        <v>10648.448</v>
      </c>
      <c r="U6" s="13">
        <f t="shared" si="2"/>
        <v>15156.32</v>
      </c>
      <c r="V6" s="39">
        <f>V4+V5</f>
        <v>18438.660000000003</v>
      </c>
      <c r="W6" s="39">
        <f>W4+W5</f>
        <v>20191.125999999997</v>
      </c>
      <c r="X6" s="39">
        <f>X4+X5</f>
        <v>22312.883999999998</v>
      </c>
      <c r="Y6" s="39">
        <f>Y4+Y5</f>
        <v>22198.852999999999</v>
      </c>
    </row>
    <row r="7" spans="2:37" x14ac:dyDescent="0.35">
      <c r="B7" s="12" t="s">
        <v>18</v>
      </c>
      <c r="C7" s="13">
        <f t="shared" ref="C7:G7" si="3">SUM(C8:C13)</f>
        <v>29190.2</v>
      </c>
      <c r="D7" s="13">
        <f t="shared" si="3"/>
        <v>29078.549999999996</v>
      </c>
      <c r="E7" s="13">
        <f t="shared" si="3"/>
        <v>31004.510000000002</v>
      </c>
      <c r="F7" s="13">
        <f t="shared" si="3"/>
        <v>25757.500000000004</v>
      </c>
      <c r="G7" s="13">
        <f t="shared" si="3"/>
        <v>25162.45</v>
      </c>
      <c r="H7" s="13">
        <f t="shared" ref="H7" si="4">SUM(H8:H13)</f>
        <v>41283.543999999994</v>
      </c>
      <c r="I7" s="71">
        <f>SUM(I8:I13)</f>
        <v>46299.122000000003</v>
      </c>
      <c r="J7" s="71">
        <f>SUM(J8:J13)</f>
        <v>47865.616999999998</v>
      </c>
      <c r="K7" s="71">
        <f>SUM(K8:K13)</f>
        <v>54907.580999999984</v>
      </c>
      <c r="L7" s="13">
        <f>SUM(L8:L13)</f>
        <v>34898.527000000002</v>
      </c>
      <c r="N7" s="6" t="s">
        <v>19</v>
      </c>
      <c r="O7" s="6"/>
      <c r="P7" s="7"/>
      <c r="Q7" s="7"/>
      <c r="R7" s="7"/>
      <c r="S7" s="7"/>
      <c r="T7" s="7"/>
      <c r="U7" s="6"/>
      <c r="V7" s="64"/>
      <c r="W7" s="18"/>
      <c r="X7" s="18"/>
      <c r="Y7" s="18"/>
    </row>
    <row r="8" spans="2:37" x14ac:dyDescent="0.35">
      <c r="B8" s="6" t="s">
        <v>20</v>
      </c>
      <c r="C8" s="7">
        <v>18296.14</v>
      </c>
      <c r="D8" s="7">
        <v>18349.189999999999</v>
      </c>
      <c r="E8" s="7">
        <v>19609.71</v>
      </c>
      <c r="F8" s="7">
        <v>16400.34</v>
      </c>
      <c r="G8" s="7">
        <v>15979.36</v>
      </c>
      <c r="H8" s="7">
        <v>27018.77</v>
      </c>
      <c r="I8" s="74">
        <v>32150.333999999999</v>
      </c>
      <c r="J8" s="74">
        <f>325515.98/10</f>
        <v>32551.597999999998</v>
      </c>
      <c r="K8" s="16">
        <v>38127.411999999997</v>
      </c>
      <c r="L8" s="16">
        <v>25267.471000000001</v>
      </c>
      <c r="N8" s="6" t="s">
        <v>21</v>
      </c>
      <c r="O8" s="6"/>
      <c r="P8" s="10"/>
      <c r="Q8" s="10"/>
      <c r="R8" s="10"/>
      <c r="S8" s="10"/>
      <c r="T8" s="10"/>
      <c r="U8" s="6"/>
      <c r="V8" s="64"/>
      <c r="W8" s="18"/>
      <c r="X8" s="18"/>
      <c r="Y8" s="18"/>
    </row>
    <row r="9" spans="2:37" x14ac:dyDescent="0.35">
      <c r="B9" s="6" t="s">
        <v>22</v>
      </c>
      <c r="C9" s="7">
        <v>6725.63</v>
      </c>
      <c r="D9" s="7">
        <v>7910.3</v>
      </c>
      <c r="E9" s="7">
        <v>8602.26</v>
      </c>
      <c r="F9" s="7">
        <v>7038.49</v>
      </c>
      <c r="G9" s="7">
        <v>6898.5</v>
      </c>
      <c r="H9" s="7">
        <v>11343.989</v>
      </c>
      <c r="I9" s="74">
        <v>11906.428</v>
      </c>
      <c r="J9" s="74">
        <f>119405.75/10</f>
        <v>11940.575000000001</v>
      </c>
      <c r="K9" s="16">
        <v>13189.816999999999</v>
      </c>
      <c r="L9" s="16">
        <v>7310.4690000000001</v>
      </c>
      <c r="N9" s="6" t="s">
        <v>23</v>
      </c>
      <c r="O9" s="6"/>
      <c r="P9" s="14"/>
      <c r="Q9" s="14"/>
      <c r="R9" s="14"/>
      <c r="S9" s="10"/>
      <c r="T9" s="10"/>
      <c r="U9" s="6"/>
      <c r="V9" s="64"/>
      <c r="W9" s="18"/>
      <c r="X9" s="18"/>
      <c r="Y9" s="18"/>
    </row>
    <row r="10" spans="2:37" x14ac:dyDescent="0.35">
      <c r="B10" s="6" t="s">
        <v>24</v>
      </c>
      <c r="C10" s="7">
        <v>2976.8</v>
      </c>
      <c r="D10" s="7">
        <v>775.18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4">
        <v>0</v>
      </c>
      <c r="K10" s="16">
        <v>0</v>
      </c>
      <c r="L10" s="16"/>
      <c r="N10" s="12" t="s">
        <v>25</v>
      </c>
      <c r="O10" s="12"/>
      <c r="P10" s="13">
        <f t="shared" ref="P10:W10" si="5">P8+P9</f>
        <v>0</v>
      </c>
      <c r="Q10" s="13">
        <f t="shared" si="5"/>
        <v>0</v>
      </c>
      <c r="R10" s="13">
        <f t="shared" si="5"/>
        <v>0</v>
      </c>
      <c r="S10" s="13">
        <f t="shared" si="5"/>
        <v>0</v>
      </c>
      <c r="T10" s="13">
        <f t="shared" si="5"/>
        <v>0</v>
      </c>
      <c r="U10" s="13">
        <f t="shared" si="5"/>
        <v>0</v>
      </c>
      <c r="V10" s="65">
        <f t="shared" si="5"/>
        <v>0</v>
      </c>
      <c r="W10" s="65">
        <f t="shared" si="5"/>
        <v>0</v>
      </c>
      <c r="X10" s="65">
        <f t="shared" ref="X10" si="6">X8+X9</f>
        <v>0</v>
      </c>
      <c r="Y10" s="65">
        <f>Y8+Y9</f>
        <v>0</v>
      </c>
    </row>
    <row r="11" spans="2:37" x14ac:dyDescent="0.35">
      <c r="B11" s="15" t="s">
        <v>26</v>
      </c>
      <c r="C11" s="7">
        <v>-886.83</v>
      </c>
      <c r="D11" s="7">
        <v>-72.790000000000006</v>
      </c>
      <c r="E11" s="7">
        <v>568.34</v>
      </c>
      <c r="F11" s="7">
        <v>131.34</v>
      </c>
      <c r="G11" s="7">
        <v>67.16</v>
      </c>
      <c r="H11" s="7">
        <v>81.38</v>
      </c>
      <c r="I11" s="74">
        <v>-1058.615</v>
      </c>
      <c r="J11" s="74">
        <f>-614.54/10</f>
        <v>-61.453999999999994</v>
      </c>
      <c r="K11" s="16">
        <v>-60.600999999999999</v>
      </c>
      <c r="L11" s="16">
        <v>-494.346</v>
      </c>
      <c r="N11" s="12" t="s">
        <v>27</v>
      </c>
      <c r="O11" s="12"/>
      <c r="P11" s="13">
        <f t="shared" ref="P11:Y11" si="7">P6+P7+P8+SUM(P47:P50)</f>
        <v>6352.7120000000004</v>
      </c>
      <c r="Q11" s="13">
        <f t="shared" si="7"/>
        <v>6993.0329999999994</v>
      </c>
      <c r="R11" s="13">
        <f t="shared" si="7"/>
        <v>7006.3290000000006</v>
      </c>
      <c r="S11" s="13">
        <f t="shared" si="7"/>
        <v>7341.5069999999996</v>
      </c>
      <c r="T11" s="13">
        <f t="shared" si="7"/>
        <v>11337.356</v>
      </c>
      <c r="U11" s="13">
        <f t="shared" si="7"/>
        <v>15734.509</v>
      </c>
      <c r="V11" s="65">
        <f t="shared" si="7"/>
        <v>18888.450000000004</v>
      </c>
      <c r="W11" s="65">
        <f t="shared" si="7"/>
        <v>21661.086999999996</v>
      </c>
      <c r="X11" s="65">
        <f t="shared" si="7"/>
        <v>23870.662999999997</v>
      </c>
      <c r="Y11" s="65">
        <f t="shared" si="7"/>
        <v>23896.909</v>
      </c>
    </row>
    <row r="12" spans="2:37" x14ac:dyDescent="0.35">
      <c r="B12" s="6" t="s">
        <v>28</v>
      </c>
      <c r="C12" s="7">
        <v>353.06</v>
      </c>
      <c r="D12" s="7">
        <v>395.01</v>
      </c>
      <c r="E12" s="7">
        <v>396.5</v>
      </c>
      <c r="F12" s="7">
        <v>416.88</v>
      </c>
      <c r="G12" s="7">
        <v>456.83</v>
      </c>
      <c r="H12" s="7">
        <v>483.125</v>
      </c>
      <c r="I12" s="74">
        <v>547.18600000000004</v>
      </c>
      <c r="J12" s="74">
        <f>6349.01/10</f>
        <v>634.90100000000007</v>
      </c>
      <c r="K12" s="16">
        <v>640.23199999999997</v>
      </c>
      <c r="L12" s="16">
        <v>533.86</v>
      </c>
      <c r="N12" s="12" t="s">
        <v>27</v>
      </c>
      <c r="O12" s="12"/>
      <c r="P12" s="13">
        <f t="shared" ref="P12:Y12" si="8">P51-P38-P9</f>
        <v>6352.7119999999995</v>
      </c>
      <c r="Q12" s="13">
        <f t="shared" si="8"/>
        <v>6993.0329999999985</v>
      </c>
      <c r="R12" s="13">
        <f t="shared" si="8"/>
        <v>7006.3289999999997</v>
      </c>
      <c r="S12" s="13">
        <f t="shared" si="8"/>
        <v>7341.5070000000005</v>
      </c>
      <c r="T12" s="13">
        <f t="shared" si="8"/>
        <v>11337.356</v>
      </c>
      <c r="U12" s="13">
        <f t="shared" si="8"/>
        <v>15734.469999999998</v>
      </c>
      <c r="V12" s="65">
        <f t="shared" si="8"/>
        <v>18888.440999999999</v>
      </c>
      <c r="W12" s="65">
        <f t="shared" si="8"/>
        <v>21661.087</v>
      </c>
      <c r="X12" s="65">
        <f t="shared" si="8"/>
        <v>23870.656000000003</v>
      </c>
      <c r="Y12" s="65">
        <f t="shared" si="8"/>
        <v>23896.901000000005</v>
      </c>
    </row>
    <row r="13" spans="2:37" x14ac:dyDescent="0.35">
      <c r="B13" s="6" t="s">
        <v>29</v>
      </c>
      <c r="C13" s="7">
        <v>1725.4</v>
      </c>
      <c r="D13" s="7">
        <v>1721.66</v>
      </c>
      <c r="E13" s="7">
        <v>1827.7</v>
      </c>
      <c r="F13" s="7">
        <v>1770.45</v>
      </c>
      <c r="G13" s="7">
        <v>1760.6</v>
      </c>
      <c r="H13" s="16">
        <v>2356.2800000000002</v>
      </c>
      <c r="I13" s="74">
        <v>2753.7890000000002</v>
      </c>
      <c r="J13" s="74">
        <f>27999.97/10</f>
        <v>2799.9970000000003</v>
      </c>
      <c r="K13" s="16">
        <v>3010.721</v>
      </c>
      <c r="L13" s="16">
        <v>2281.0729999999999</v>
      </c>
      <c r="N13" s="6"/>
      <c r="O13" s="6"/>
      <c r="P13" s="7"/>
      <c r="Q13" s="7"/>
      <c r="R13" s="7"/>
      <c r="S13" s="7"/>
      <c r="T13" s="7"/>
      <c r="U13" s="6"/>
      <c r="V13" s="64"/>
      <c r="W13" s="18"/>
      <c r="X13" s="18"/>
      <c r="Y13" s="18"/>
    </row>
    <row r="14" spans="2:37" x14ac:dyDescent="0.35">
      <c r="B14" s="12" t="s">
        <v>30</v>
      </c>
      <c r="C14" s="13">
        <f t="shared" ref="C14:H14" si="9">C4-C7</f>
        <v>2972.7700000000004</v>
      </c>
      <c r="D14" s="13">
        <f t="shared" si="9"/>
        <v>1962.5500000000029</v>
      </c>
      <c r="E14" s="13">
        <f t="shared" si="9"/>
        <v>933.54999999999927</v>
      </c>
      <c r="F14" s="13">
        <f t="shared" si="9"/>
        <v>1484.9499999999971</v>
      </c>
      <c r="G14" s="13">
        <f t="shared" si="9"/>
        <v>6689.27</v>
      </c>
      <c r="H14" s="13">
        <f t="shared" si="9"/>
        <v>9039.4220000000059</v>
      </c>
      <c r="I14" s="71">
        <f>I4-I7</f>
        <v>6572.9249999999956</v>
      </c>
      <c r="J14" s="71">
        <f>J4-J7</f>
        <v>4667.8309999999983</v>
      </c>
      <c r="K14" s="71">
        <f>K4-K7</f>
        <v>5326.1710000000166</v>
      </c>
      <c r="L14" s="13">
        <f>L4-L7</f>
        <v>2615.3199999999997</v>
      </c>
      <c r="N14" s="6"/>
      <c r="O14" s="6"/>
      <c r="P14" s="7"/>
      <c r="Q14" s="7"/>
      <c r="R14" s="7"/>
      <c r="S14" s="7"/>
      <c r="T14" s="7"/>
      <c r="U14" s="6"/>
      <c r="V14" s="64"/>
      <c r="W14" s="18"/>
      <c r="X14" s="18"/>
      <c r="Y14" s="18"/>
    </row>
    <row r="15" spans="2:37" x14ac:dyDescent="0.35">
      <c r="B15" s="8" t="s">
        <v>14</v>
      </c>
      <c r="C15" s="9"/>
      <c r="D15" s="9">
        <f t="shared" ref="D15:H15" si="10">D14/C14-1</f>
        <v>-0.33982447347086975</v>
      </c>
      <c r="E15" s="9">
        <f t="shared" si="10"/>
        <v>-0.52431785177447821</v>
      </c>
      <c r="F15" s="9">
        <f t="shared" si="10"/>
        <v>0.59064859943227277</v>
      </c>
      <c r="G15" s="9">
        <f t="shared" si="10"/>
        <v>3.5047105963163832</v>
      </c>
      <c r="H15" s="9">
        <f t="shared" si="10"/>
        <v>0.35133161017570003</v>
      </c>
      <c r="I15" s="75">
        <f>I14/H14-1</f>
        <v>-0.27286003463495878</v>
      </c>
      <c r="J15" s="75">
        <f>J14/I14-1</f>
        <v>-0.28983960717640911</v>
      </c>
      <c r="K15" s="75">
        <f>K14/J14-1</f>
        <v>0.14103766824463415</v>
      </c>
      <c r="L15" s="9"/>
      <c r="N15" s="12" t="s">
        <v>31</v>
      </c>
      <c r="O15" s="12"/>
      <c r="P15" s="13">
        <f t="shared" ref="P15:Y15" si="11">SUM(P16:P26)</f>
        <v>3582.442</v>
      </c>
      <c r="Q15" s="13">
        <f t="shared" si="11"/>
        <v>3570.5349999999999</v>
      </c>
      <c r="R15" s="13">
        <f t="shared" si="11"/>
        <v>3679.1500000000005</v>
      </c>
      <c r="S15" s="13">
        <f t="shared" si="11"/>
        <v>3877.6019999999999</v>
      </c>
      <c r="T15" s="13">
        <f t="shared" si="11"/>
        <v>3902.7840000000001</v>
      </c>
      <c r="U15" s="13">
        <f t="shared" si="11"/>
        <v>5333.32</v>
      </c>
      <c r="V15" s="65">
        <f t="shared" si="11"/>
        <v>7025.8639999999996</v>
      </c>
      <c r="W15" s="65">
        <f t="shared" si="11"/>
        <v>10621.073</v>
      </c>
      <c r="X15" s="65">
        <f t="shared" si="11"/>
        <v>14267.746999999999</v>
      </c>
      <c r="Y15" s="65">
        <f t="shared" si="11"/>
        <v>15813.089000000002</v>
      </c>
    </row>
    <row r="16" spans="2:37" x14ac:dyDescent="0.35">
      <c r="B16" s="8" t="s">
        <v>16</v>
      </c>
      <c r="C16" s="9"/>
      <c r="D16" s="9"/>
      <c r="E16" s="9"/>
      <c r="F16" s="9">
        <f t="shared" ref="F16:J16" si="12">(F14/C14)^(1/3)-1</f>
        <v>-0.20655497690380886</v>
      </c>
      <c r="G16" s="9">
        <f t="shared" si="12"/>
        <v>0.50494050724175565</v>
      </c>
      <c r="H16" s="9">
        <f t="shared" si="12"/>
        <v>1.1314134047460542</v>
      </c>
      <c r="I16" s="75">
        <f t="shared" si="12"/>
        <v>0.64190849069171207</v>
      </c>
      <c r="J16" s="75">
        <f t="shared" si="12"/>
        <v>-0.11302346091505011</v>
      </c>
      <c r="K16" s="75">
        <f>(K14/H14)^(1/3)-1</f>
        <v>-0.16165106945137375</v>
      </c>
      <c r="L16" s="9"/>
      <c r="N16" s="6" t="s">
        <v>32</v>
      </c>
      <c r="O16" s="6">
        <v>3313.2420000000002</v>
      </c>
      <c r="P16" s="10">
        <v>3353.799</v>
      </c>
      <c r="Q16" s="10">
        <v>3322.4029999999998</v>
      </c>
      <c r="R16" s="10">
        <v>3300.77</v>
      </c>
      <c r="S16" s="10">
        <v>3416.2570000000001</v>
      </c>
      <c r="T16" s="7">
        <v>3189.48</v>
      </c>
      <c r="U16" s="7">
        <v>3020.05</v>
      </c>
      <c r="V16" s="62">
        <v>5115.1220000000003</v>
      </c>
      <c r="W16" s="62">
        <f>65746.56/10</f>
        <v>6574.6559999999999</v>
      </c>
      <c r="X16" s="62">
        <v>6906.6869999999999</v>
      </c>
      <c r="Y16" s="62">
        <v>13546.673000000001</v>
      </c>
      <c r="Z16" s="56"/>
    </row>
    <row r="17" spans="2:25" x14ac:dyDescent="0.35">
      <c r="B17" s="12" t="s">
        <v>33</v>
      </c>
      <c r="C17" s="17">
        <f t="shared" ref="C17:H17" si="13">C14/C4</f>
        <v>9.2428342283066525E-2</v>
      </c>
      <c r="D17" s="17">
        <f t="shared" si="13"/>
        <v>6.3224241408970788E-2</v>
      </c>
      <c r="E17" s="17">
        <f t="shared" si="13"/>
        <v>2.9230015849428526E-2</v>
      </c>
      <c r="F17" s="17">
        <f t="shared" si="13"/>
        <v>5.4508680386675834E-2</v>
      </c>
      <c r="G17" s="17">
        <f t="shared" si="13"/>
        <v>0.21001283447173341</v>
      </c>
      <c r="H17" s="17">
        <f t="shared" si="13"/>
        <v>0.17962816420637856</v>
      </c>
      <c r="I17" s="76">
        <f>I14/I4</f>
        <v>0.12431758127314411</v>
      </c>
      <c r="J17" s="76">
        <f>J14/J4</f>
        <v>8.8854457068951551E-2</v>
      </c>
      <c r="K17" s="76">
        <f>K14/K4</f>
        <v>8.8425024560980642E-2</v>
      </c>
      <c r="L17" s="17">
        <f>L14/L4</f>
        <v>6.9716123755582823E-2</v>
      </c>
      <c r="N17" s="6" t="s">
        <v>34</v>
      </c>
      <c r="O17" s="6"/>
      <c r="P17" s="10">
        <v>14.032999999999999</v>
      </c>
      <c r="Q17" s="10">
        <v>11.645</v>
      </c>
      <c r="R17" s="10">
        <v>10.483000000000001</v>
      </c>
      <c r="S17" s="14">
        <v>8.0229999999999997</v>
      </c>
      <c r="T17" s="10">
        <v>6.3639999999999999</v>
      </c>
      <c r="U17" s="7">
        <v>4.8600000000000003</v>
      </c>
      <c r="V17" s="62">
        <v>3.88</v>
      </c>
      <c r="W17" s="62">
        <v>2.649</v>
      </c>
      <c r="X17" s="62">
        <v>8.84</v>
      </c>
      <c r="Y17" s="62">
        <v>16.919</v>
      </c>
    </row>
    <row r="18" spans="2:25" x14ac:dyDescent="0.35">
      <c r="B18" s="6" t="s">
        <v>35</v>
      </c>
      <c r="C18" s="7">
        <v>222.18</v>
      </c>
      <c r="D18" s="7">
        <v>207.46</v>
      </c>
      <c r="E18" s="7">
        <v>232.72</v>
      </c>
      <c r="F18" s="7">
        <v>360.3</v>
      </c>
      <c r="G18" s="7">
        <v>391.43</v>
      </c>
      <c r="H18" s="7">
        <v>418.51100000000002</v>
      </c>
      <c r="I18" s="74">
        <v>466.02699999999999</v>
      </c>
      <c r="J18" s="74">
        <f>5948.79/10</f>
        <v>594.87900000000002</v>
      </c>
      <c r="K18" s="87">
        <v>679.38800000000003</v>
      </c>
      <c r="L18" s="111">
        <v>635.02499999999998</v>
      </c>
      <c r="N18" t="s">
        <v>118</v>
      </c>
      <c r="O18" s="6"/>
      <c r="P18" s="10"/>
      <c r="Q18" s="10"/>
      <c r="R18" s="10"/>
      <c r="S18" s="14"/>
      <c r="T18" s="10"/>
      <c r="U18" s="7"/>
      <c r="V18" s="62"/>
      <c r="W18" s="62"/>
      <c r="X18" s="62">
        <v>6.9850000000000003</v>
      </c>
      <c r="Y18" s="62"/>
    </row>
    <row r="19" spans="2:25" x14ac:dyDescent="0.35">
      <c r="B19" s="6" t="s">
        <v>37</v>
      </c>
      <c r="C19" s="7">
        <v>47.01</v>
      </c>
      <c r="D19" s="7">
        <v>46.04</v>
      </c>
      <c r="E19" s="7">
        <v>39.03</v>
      </c>
      <c r="F19" s="7">
        <v>64.94</v>
      </c>
      <c r="G19" s="7">
        <v>72.7</v>
      </c>
      <c r="H19" s="16">
        <v>47.73</v>
      </c>
      <c r="I19" s="74">
        <v>35.761000000000003</v>
      </c>
      <c r="J19" s="74">
        <f>722.16/10</f>
        <v>72.215999999999994</v>
      </c>
      <c r="K19" s="7">
        <v>124.139</v>
      </c>
      <c r="L19" s="7">
        <v>99.742999999999995</v>
      </c>
      <c r="N19" s="6" t="s">
        <v>36</v>
      </c>
      <c r="O19" s="6"/>
      <c r="P19" s="10">
        <v>126.758</v>
      </c>
      <c r="Q19" s="10">
        <v>96.513000000000005</v>
      </c>
      <c r="R19" s="10">
        <v>237.58699999999999</v>
      </c>
      <c r="S19" s="10">
        <v>84.025000000000006</v>
      </c>
      <c r="T19" s="10">
        <v>90.662999999999997</v>
      </c>
      <c r="U19" s="7">
        <v>1789.44</v>
      </c>
      <c r="V19" s="62">
        <v>1080.4269999999999</v>
      </c>
      <c r="W19" s="62">
        <v>2326.1460000000002</v>
      </c>
      <c r="X19" s="62">
        <v>5808.4269999999997</v>
      </c>
      <c r="Y19" s="62">
        <v>413.83</v>
      </c>
    </row>
    <row r="20" spans="2:25" x14ac:dyDescent="0.35">
      <c r="B20" s="6" t="s">
        <v>39</v>
      </c>
      <c r="C20" s="7">
        <v>74.91</v>
      </c>
      <c r="D20" s="7">
        <v>80.2</v>
      </c>
      <c r="E20" s="7">
        <v>99.8</v>
      </c>
      <c r="F20" s="7">
        <v>119.21</v>
      </c>
      <c r="G20" s="7">
        <v>212.78</v>
      </c>
      <c r="H20" s="7">
        <v>305.01</v>
      </c>
      <c r="I20" s="74">
        <v>589.35900000000004</v>
      </c>
      <c r="J20" s="74">
        <v>681.42700000000002</v>
      </c>
      <c r="K20" s="7">
        <v>731.63</v>
      </c>
      <c r="L20" s="7">
        <v>326.79700000000003</v>
      </c>
      <c r="N20" s="6" t="s">
        <v>38</v>
      </c>
      <c r="O20" s="6"/>
      <c r="P20" s="7">
        <v>0</v>
      </c>
      <c r="Q20" s="7">
        <v>0</v>
      </c>
      <c r="R20" s="7">
        <v>0</v>
      </c>
      <c r="S20" s="7">
        <v>284.738</v>
      </c>
      <c r="T20" s="7">
        <v>392.56099999999998</v>
      </c>
      <c r="U20" s="7">
        <v>344.1</v>
      </c>
      <c r="V20" s="62">
        <v>147.04599999999999</v>
      </c>
      <c r="W20" s="62">
        <v>1110.17</v>
      </c>
      <c r="X20" s="62">
        <v>1213.752</v>
      </c>
      <c r="Y20" s="62">
        <v>1293.9559999999999</v>
      </c>
    </row>
    <row r="21" spans="2:25" x14ac:dyDescent="0.35">
      <c r="B21" s="1" t="s">
        <v>41</v>
      </c>
      <c r="C21" s="5">
        <f t="shared" ref="C21:H21" si="14">C14-C18-C19+C20</f>
        <v>2778.4900000000002</v>
      </c>
      <c r="D21" s="5">
        <f t="shared" si="14"/>
        <v>1789.250000000003</v>
      </c>
      <c r="E21" s="5">
        <f t="shared" si="14"/>
        <v>761.59999999999923</v>
      </c>
      <c r="F21" s="5">
        <f t="shared" si="14"/>
        <v>1178.9199999999971</v>
      </c>
      <c r="G21" s="5">
        <f t="shared" si="14"/>
        <v>6437.92</v>
      </c>
      <c r="H21" s="5">
        <f t="shared" si="14"/>
        <v>8878.1910000000062</v>
      </c>
      <c r="I21" s="79">
        <f>I14-I18-I19+I20</f>
        <v>6660.4959999999955</v>
      </c>
      <c r="J21" s="79">
        <f>J14-J18-J19+J20</f>
        <v>4682.1629999999986</v>
      </c>
      <c r="K21" s="81">
        <f>K14-K18-K19+K20</f>
        <v>5254.2740000000167</v>
      </c>
      <c r="L21" s="81">
        <f>L14-L18-L19+L20-70.893</f>
        <v>2136.4559999999997</v>
      </c>
      <c r="N21" s="6" t="s">
        <v>40</v>
      </c>
      <c r="O21" s="6"/>
      <c r="P21" s="7"/>
      <c r="Q21" s="7"/>
      <c r="R21" s="7"/>
      <c r="S21" s="7"/>
      <c r="T21" s="7"/>
      <c r="U21" s="7"/>
      <c r="V21" s="64"/>
      <c r="W21" s="18"/>
      <c r="X21" s="18"/>
      <c r="Y21" s="18"/>
    </row>
    <row r="22" spans="2:25" x14ac:dyDescent="0.35">
      <c r="B22" s="6" t="s">
        <v>42</v>
      </c>
      <c r="C22" s="7">
        <v>984.36</v>
      </c>
      <c r="D22" s="7">
        <v>628.15</v>
      </c>
      <c r="E22" s="7">
        <v>269.56</v>
      </c>
      <c r="F22" s="7">
        <v>152.4</v>
      </c>
      <c r="G22" s="7">
        <v>1662.91</v>
      </c>
      <c r="H22" s="7">
        <v>2245.5300000000002</v>
      </c>
      <c r="I22" s="74">
        <v>1687.492</v>
      </c>
      <c r="J22" s="74">
        <f>(11912.09+260.7)/10</f>
        <v>1217.279</v>
      </c>
      <c r="K22" s="7">
        <f>1324.854+24.172</f>
        <v>1349.0260000000001</v>
      </c>
      <c r="L22" s="7">
        <f>433.3+110.452</f>
        <v>543.75199999999995</v>
      </c>
      <c r="M22" s="56"/>
      <c r="N22" s="19" t="s">
        <v>116</v>
      </c>
      <c r="O22" s="6"/>
      <c r="P22" s="7"/>
      <c r="Q22" s="7"/>
      <c r="R22" s="7"/>
      <c r="S22" s="7"/>
      <c r="T22" s="7"/>
      <c r="U22" s="7"/>
      <c r="V22" s="64"/>
      <c r="W22" s="18"/>
      <c r="X22" s="18">
        <v>53.6</v>
      </c>
      <c r="Y22" s="18">
        <v>374.16500000000002</v>
      </c>
    </row>
    <row r="23" spans="2:25" x14ac:dyDescent="0.35">
      <c r="B23" s="12" t="s">
        <v>44</v>
      </c>
      <c r="C23" s="13">
        <f t="shared" ref="C23:G23" si="15">C21-C22</f>
        <v>1794.13</v>
      </c>
      <c r="D23" s="13">
        <f t="shared" si="15"/>
        <v>1161.1000000000031</v>
      </c>
      <c r="E23" s="13">
        <f t="shared" si="15"/>
        <v>492.03999999999922</v>
      </c>
      <c r="F23" s="13">
        <f t="shared" si="15"/>
        <v>1026.519999999997</v>
      </c>
      <c r="G23" s="13">
        <f t="shared" si="15"/>
        <v>4775.01</v>
      </c>
      <c r="H23" s="13">
        <f>H21-H22</f>
        <v>6632.6610000000055</v>
      </c>
      <c r="I23" s="71">
        <f>I21-I22</f>
        <v>4973.0039999999954</v>
      </c>
      <c r="J23" s="71">
        <f>J21-J22</f>
        <v>3464.8839999999987</v>
      </c>
      <c r="K23" s="71">
        <f>K21-K22</f>
        <v>3905.2480000000169</v>
      </c>
      <c r="L23" s="13">
        <f>L21-L22</f>
        <v>1592.7039999999997</v>
      </c>
      <c r="N23" s="19" t="s">
        <v>117</v>
      </c>
      <c r="O23" s="19"/>
      <c r="P23" s="10">
        <v>9.3059999999999992</v>
      </c>
      <c r="Q23" s="10">
        <v>13.356</v>
      </c>
      <c r="R23" s="10">
        <v>8.6950000000000003</v>
      </c>
      <c r="S23" s="10">
        <v>12.506</v>
      </c>
      <c r="T23" s="10">
        <v>8.5169999999999995</v>
      </c>
      <c r="U23" s="7">
        <v>12.4</v>
      </c>
      <c r="V23" s="62">
        <v>19.494</v>
      </c>
      <c r="W23" s="62">
        <v>12.65</v>
      </c>
      <c r="X23" s="62">
        <v>15.340999999999999</v>
      </c>
      <c r="Y23" s="62">
        <v>16.902999999999999</v>
      </c>
    </row>
    <row r="24" spans="2:25" x14ac:dyDescent="0.35">
      <c r="B24" s="8" t="s">
        <v>14</v>
      </c>
      <c r="C24" s="9"/>
      <c r="D24" s="9">
        <f t="shared" ref="D24:H24" si="16">D23/C23-1</f>
        <v>-0.35283396409401602</v>
      </c>
      <c r="E24" s="9">
        <f t="shared" si="16"/>
        <v>-0.57622943760227552</v>
      </c>
      <c r="F24" s="9">
        <f t="shared" si="16"/>
        <v>1.0862531501503914</v>
      </c>
      <c r="G24" s="9">
        <f t="shared" si="16"/>
        <v>3.6516482874176965</v>
      </c>
      <c r="H24" s="9">
        <f t="shared" si="16"/>
        <v>0.38903604390357405</v>
      </c>
      <c r="I24" s="75">
        <f>I23/H23-1</f>
        <v>-0.25022490973080169</v>
      </c>
      <c r="J24" s="75">
        <f>J23/I23-1</f>
        <v>-0.30326136878232912</v>
      </c>
      <c r="K24" s="75">
        <f>K23/J23-1</f>
        <v>0.12709343227652603</v>
      </c>
      <c r="L24" s="9"/>
      <c r="N24" s="19" t="s">
        <v>43</v>
      </c>
      <c r="O24" s="19"/>
      <c r="P24" s="14">
        <v>34.581000000000003</v>
      </c>
      <c r="Q24" s="10">
        <v>34.585000000000001</v>
      </c>
      <c r="R24" s="10">
        <v>44.216999999999999</v>
      </c>
      <c r="S24" s="10">
        <v>41.198</v>
      </c>
      <c r="T24" s="20">
        <v>53.252000000000002</v>
      </c>
      <c r="U24" s="7">
        <v>47.82</v>
      </c>
      <c r="V24" s="62">
        <v>253.77099999999999</v>
      </c>
      <c r="W24" s="62">
        <v>63.749000000000002</v>
      </c>
      <c r="X24" s="62">
        <v>50.281999999999996</v>
      </c>
      <c r="Y24" s="62">
        <v>48.411000000000001</v>
      </c>
    </row>
    <row r="25" spans="2:25" x14ac:dyDescent="0.35">
      <c r="B25" s="8" t="s">
        <v>16</v>
      </c>
      <c r="C25" s="9"/>
      <c r="D25" s="9"/>
      <c r="E25" s="9"/>
      <c r="F25" s="9">
        <f t="shared" ref="F25:J25" si="17">(F23/C23)^(1/3)-1</f>
        <v>-0.16982209789209446</v>
      </c>
      <c r="G25" s="9">
        <f t="shared" si="17"/>
        <v>0.60214402124422506</v>
      </c>
      <c r="H25" s="9">
        <f t="shared" si="17"/>
        <v>1.3799205752297836</v>
      </c>
      <c r="I25" s="75">
        <f t="shared" si="17"/>
        <v>0.69206534605037517</v>
      </c>
      <c r="J25" s="75">
        <f t="shared" si="17"/>
        <v>-0.10138953624682323</v>
      </c>
      <c r="K25" s="75">
        <f>(K23/H23)^(1/3)-1</f>
        <v>-0.16185284993681182</v>
      </c>
      <c r="L25" s="9"/>
      <c r="M25" s="57"/>
      <c r="N25" t="s">
        <v>121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21">
        <v>70.427000000000007</v>
      </c>
    </row>
    <row r="26" spans="2:25" x14ac:dyDescent="0.35">
      <c r="B26" s="12" t="s">
        <v>48</v>
      </c>
      <c r="C26" s="17">
        <f t="shared" ref="C26:H26" si="18">C23/C4</f>
        <v>5.5782472825115344E-2</v>
      </c>
      <c r="D26" s="17">
        <f t="shared" si="18"/>
        <v>3.7405246592421115E-2</v>
      </c>
      <c r="E26" s="17">
        <f t="shared" si="18"/>
        <v>1.5406070374969525E-2</v>
      </c>
      <c r="F26" s="17">
        <f t="shared" si="18"/>
        <v>3.768089874442266E-2</v>
      </c>
      <c r="G26" s="17">
        <f t="shared" si="18"/>
        <v>0.14991372522425792</v>
      </c>
      <c r="H26" s="17">
        <f t="shared" si="18"/>
        <v>0.13180186954799139</v>
      </c>
      <c r="I26" s="76">
        <f>I23/I4</f>
        <v>9.4057338086418238E-2</v>
      </c>
      <c r="J26" s="76">
        <f>J23/J4</f>
        <v>6.5955769741213227E-2</v>
      </c>
      <c r="K26" s="76">
        <f>K23/K4</f>
        <v>6.4834878624197553E-2</v>
      </c>
      <c r="L26" s="17">
        <f>L23/L4</f>
        <v>4.2456429488556574E-2</v>
      </c>
      <c r="N26" s="6" t="s">
        <v>45</v>
      </c>
      <c r="O26" s="6"/>
      <c r="P26" s="10">
        <v>43.965000000000003</v>
      </c>
      <c r="Q26" s="10">
        <v>92.033000000000001</v>
      </c>
      <c r="R26" s="10">
        <v>77.397999999999996</v>
      </c>
      <c r="S26" s="10">
        <v>30.855</v>
      </c>
      <c r="T26" s="20">
        <v>161.947</v>
      </c>
      <c r="U26" s="7">
        <v>114.65</v>
      </c>
      <c r="V26" s="62">
        <v>406.12400000000002</v>
      </c>
      <c r="W26" s="62">
        <v>531.053</v>
      </c>
      <c r="X26" s="62">
        <v>203.833</v>
      </c>
      <c r="Y26" s="62">
        <v>31.805</v>
      </c>
    </row>
    <row r="27" spans="2:25" x14ac:dyDescent="0.35">
      <c r="B27" s="6" t="s">
        <v>49</v>
      </c>
      <c r="C27" s="22">
        <v>-4.24</v>
      </c>
      <c r="D27" s="22">
        <v>-3.63</v>
      </c>
      <c r="E27" s="22">
        <v>-0.13900000000000001</v>
      </c>
      <c r="F27" s="22">
        <v>-5.64</v>
      </c>
      <c r="G27" s="22">
        <v>-8</v>
      </c>
      <c r="H27" s="6">
        <v>-8.27</v>
      </c>
      <c r="I27" s="69">
        <v>-4.3579999999999997</v>
      </c>
      <c r="J27" s="69">
        <f>-200.37/10</f>
        <v>-20.036999999999999</v>
      </c>
      <c r="K27" s="21">
        <v>-2.903</v>
      </c>
      <c r="L27" s="21">
        <f>L23-L28</f>
        <v>-2.177000000000362</v>
      </c>
      <c r="N27" s="12" t="s">
        <v>46</v>
      </c>
      <c r="O27" s="12"/>
      <c r="P27" s="13">
        <f>SUM(P28:P37)</f>
        <v>7714.6440000000002</v>
      </c>
      <c r="Q27" s="13">
        <f>SUM(Q28:Q37)</f>
        <v>9386.9869999999992</v>
      </c>
      <c r="R27" s="13">
        <f t="shared" ref="R27:U27" si="19">SUM(R28:R37)</f>
        <v>8529.51</v>
      </c>
      <c r="S27" s="13">
        <f t="shared" si="19"/>
        <v>8672.9479999999985</v>
      </c>
      <c r="T27" s="13">
        <f t="shared" si="19"/>
        <v>13650.592999999999</v>
      </c>
      <c r="U27" s="13">
        <f t="shared" si="19"/>
        <v>17449.55</v>
      </c>
      <c r="V27" s="65">
        <f>SUM(V28:V37)</f>
        <v>20284.330000000002</v>
      </c>
      <c r="W27" s="65">
        <f>SUM(W28:W37)</f>
        <v>20027.218999999997</v>
      </c>
      <c r="X27" s="65">
        <f>SUM(X28:X37)</f>
        <v>20213.248000000003</v>
      </c>
      <c r="Y27" s="65">
        <f>SUM(Y28:Y37)</f>
        <v>17010.196</v>
      </c>
    </row>
    <row r="28" spans="2:25" x14ac:dyDescent="0.35">
      <c r="B28" s="12" t="s">
        <v>51</v>
      </c>
      <c r="C28" s="13">
        <f>SUM(C23+C27)</f>
        <v>1789.89</v>
      </c>
      <c r="D28" s="13">
        <f>SUM(D23+D27)</f>
        <v>1157.470000000003</v>
      </c>
      <c r="E28" s="13">
        <f t="shared" ref="E28:G28" si="20">SUM(E23+E27)</f>
        <v>491.90099999999921</v>
      </c>
      <c r="F28" s="13">
        <f t="shared" si="20"/>
        <v>1020.879999999997</v>
      </c>
      <c r="G28" s="13">
        <f t="shared" si="20"/>
        <v>4767.01</v>
      </c>
      <c r="H28" s="13">
        <f>SUM(H23+H27)</f>
        <v>6624.3910000000051</v>
      </c>
      <c r="I28" s="71">
        <f>SUM(I23+I27)</f>
        <v>4968.6459999999952</v>
      </c>
      <c r="J28" s="71">
        <f>SUM(J23+J27)</f>
        <v>3444.8469999999988</v>
      </c>
      <c r="K28" s="88">
        <f>K23-K27</f>
        <v>3908.1510000000167</v>
      </c>
      <c r="L28" s="115">
        <v>1594.8810000000001</v>
      </c>
      <c r="N28" s="6" t="s">
        <v>47</v>
      </c>
      <c r="O28" s="21">
        <v>1814.442</v>
      </c>
      <c r="P28" s="14">
        <v>3058.5720000000001</v>
      </c>
      <c r="Q28" s="14">
        <v>3128.5940000000001</v>
      </c>
      <c r="R28" s="14">
        <v>2450.5030000000002</v>
      </c>
      <c r="S28" s="14">
        <v>2584.299</v>
      </c>
      <c r="T28" s="10">
        <v>3178.08</v>
      </c>
      <c r="U28" s="6">
        <v>3007.55</v>
      </c>
      <c r="V28" s="62">
        <v>6469.3140000000003</v>
      </c>
      <c r="W28" s="62">
        <v>4806.0330000000004</v>
      </c>
      <c r="X28" s="64">
        <v>7008.0339999999997</v>
      </c>
      <c r="Y28" s="64">
        <v>8316.1880000000001</v>
      </c>
    </row>
    <row r="29" spans="2:25" x14ac:dyDescent="0.35">
      <c r="B29" s="25" t="s">
        <v>14</v>
      </c>
      <c r="C29" s="26"/>
      <c r="D29" s="27">
        <f>D28/C28-1</f>
        <v>-0.35332897552363385</v>
      </c>
      <c r="E29" s="27">
        <f t="shared" ref="E29:H29" si="21">E28/D28-1</f>
        <v>-0.57502051889034012</v>
      </c>
      <c r="F29" s="27">
        <f t="shared" si="21"/>
        <v>1.0753769559321871</v>
      </c>
      <c r="G29" s="27">
        <f t="shared" si="21"/>
        <v>3.6695106182901167</v>
      </c>
      <c r="H29" s="27">
        <f t="shared" si="21"/>
        <v>0.3896322852270091</v>
      </c>
      <c r="I29" s="77">
        <f>I28/H28-1</f>
        <v>-0.24994674982198495</v>
      </c>
      <c r="J29" s="77">
        <f>J28/I28-1</f>
        <v>-0.30668294742672308</v>
      </c>
      <c r="K29" s="77">
        <f>K28/J28-1</f>
        <v>0.13449189470534328</v>
      </c>
      <c r="L29" s="27"/>
      <c r="N29" s="6" t="s">
        <v>40</v>
      </c>
      <c r="O29" s="6"/>
      <c r="P29" s="7"/>
      <c r="Q29" s="7"/>
      <c r="R29" s="7"/>
      <c r="S29" s="7"/>
      <c r="T29" s="7"/>
      <c r="U29" s="6"/>
      <c r="V29" s="64"/>
      <c r="W29" s="18"/>
      <c r="X29" s="18"/>
      <c r="Y29" s="18"/>
    </row>
    <row r="30" spans="2:25" x14ac:dyDescent="0.35">
      <c r="B30" s="25" t="s">
        <v>54</v>
      </c>
      <c r="C30" s="26"/>
      <c r="D30" s="26"/>
      <c r="E30" s="26"/>
      <c r="F30" s="9">
        <f t="shared" ref="F30:J30" si="22">(F28/C28)^(1/3)-1</f>
        <v>-0.1706914975393381</v>
      </c>
      <c r="G30" s="9">
        <f t="shared" si="22"/>
        <v>0.60292095501483067</v>
      </c>
      <c r="H30" s="9">
        <f t="shared" si="22"/>
        <v>1.3791550773188441</v>
      </c>
      <c r="I30" s="75">
        <f t="shared" si="22"/>
        <v>0.69468032232476529</v>
      </c>
      <c r="J30" s="75">
        <f t="shared" si="22"/>
        <v>-0.1026236391093297</v>
      </c>
      <c r="K30" s="75">
        <f>(K28/H28)^(1/3)-1</f>
        <v>-0.16129649311382521</v>
      </c>
      <c r="L30" s="9"/>
      <c r="N30" s="6" t="s">
        <v>50</v>
      </c>
      <c r="O30" s="6"/>
      <c r="P30" s="7">
        <v>0</v>
      </c>
      <c r="Q30" s="7">
        <v>1106.0260000000001</v>
      </c>
      <c r="R30" s="7">
        <v>2507.9609999999998</v>
      </c>
      <c r="S30" s="7">
        <v>1348.126</v>
      </c>
      <c r="T30" s="7">
        <v>4702.8310000000001</v>
      </c>
      <c r="U30" s="6">
        <v>4837.88</v>
      </c>
      <c r="V30" s="62">
        <v>5625.5069999999996</v>
      </c>
      <c r="W30" s="62">
        <v>5717.9579999999996</v>
      </c>
      <c r="X30" s="62">
        <v>4300.0010000000002</v>
      </c>
      <c r="Y30" s="62">
        <v>1974.84</v>
      </c>
    </row>
    <row r="31" spans="2:25" x14ac:dyDescent="0.35">
      <c r="B31" s="6"/>
      <c r="C31" s="6"/>
      <c r="D31" s="6"/>
      <c r="E31" s="6"/>
      <c r="F31" s="6"/>
      <c r="G31" s="6"/>
      <c r="H31" s="6"/>
      <c r="I31" s="28"/>
      <c r="J31" s="28"/>
      <c r="K31" s="6"/>
      <c r="L31" s="6"/>
      <c r="N31" s="23" t="s">
        <v>52</v>
      </c>
      <c r="O31" s="24">
        <v>2811.6170000000002</v>
      </c>
      <c r="P31" s="10">
        <v>3073.8890000000001</v>
      </c>
      <c r="Q31" s="10">
        <v>2952.6390000000001</v>
      </c>
      <c r="R31" s="10">
        <v>2846.8890000000001</v>
      </c>
      <c r="S31" s="10">
        <v>2480.8319999999999</v>
      </c>
      <c r="T31" s="20">
        <v>3833.3539999999998</v>
      </c>
      <c r="U31" s="6">
        <v>4117.84</v>
      </c>
      <c r="V31" s="62">
        <v>3622.913</v>
      </c>
      <c r="W31" s="62">
        <v>3949.7139999999999</v>
      </c>
      <c r="X31" s="62">
        <v>3932.4389999999999</v>
      </c>
      <c r="Y31" s="62">
        <v>2694.9380000000001</v>
      </c>
    </row>
    <row r="32" spans="2:25" x14ac:dyDescent="0.35">
      <c r="B32" s="12" t="s">
        <v>57</v>
      </c>
      <c r="C32" s="29">
        <v>18.59</v>
      </c>
      <c r="D32" s="29">
        <v>12.03</v>
      </c>
      <c r="E32" s="29">
        <v>5.0999999999999996</v>
      </c>
      <c r="F32" s="29">
        <v>10.64</v>
      </c>
      <c r="G32" s="30">
        <v>50.63</v>
      </c>
      <c r="H32" s="30">
        <v>35.270000000000003</v>
      </c>
      <c r="I32" s="78">
        <v>26.49</v>
      </c>
      <c r="J32" s="78">
        <v>18.43</v>
      </c>
      <c r="K32" s="30">
        <v>20.77</v>
      </c>
      <c r="L32" s="30">
        <v>8.4700000000000006</v>
      </c>
      <c r="N32" s="23" t="s">
        <v>53</v>
      </c>
      <c r="O32" s="23"/>
      <c r="P32" s="10">
        <v>932.61300000000006</v>
      </c>
      <c r="Q32" s="10">
        <v>1232.694</v>
      </c>
      <c r="R32" s="10">
        <v>330.09899999999999</v>
      </c>
      <c r="S32" s="10">
        <v>1709.0440000000001</v>
      </c>
      <c r="T32" s="10">
        <v>660.77099999999996</v>
      </c>
      <c r="U32" s="6">
        <v>2175.38</v>
      </c>
      <c r="V32" s="37">
        <v>818.14499999999998</v>
      </c>
      <c r="W32" s="62">
        <v>2159.145</v>
      </c>
      <c r="X32" s="62">
        <v>3054.0839999999998</v>
      </c>
      <c r="Y32" s="62">
        <v>975.43299999999999</v>
      </c>
    </row>
    <row r="33" spans="2:25" x14ac:dyDescent="0.35">
      <c r="B33" s="8" t="s">
        <v>14</v>
      </c>
      <c r="C33" s="9"/>
      <c r="D33" s="9">
        <f t="shared" ref="D33:H33" si="23">D32/C32-1</f>
        <v>-0.35287789133942982</v>
      </c>
      <c r="E33" s="9">
        <f t="shared" si="23"/>
        <v>-0.57605985037406482</v>
      </c>
      <c r="F33" s="9">
        <f t="shared" si="23"/>
        <v>1.0862745098039217</v>
      </c>
      <c r="G33" s="9">
        <f t="shared" si="23"/>
        <v>3.7584586466165417</v>
      </c>
      <c r="H33" s="9">
        <f t="shared" si="23"/>
        <v>-0.30337744420304169</v>
      </c>
      <c r="I33" s="75">
        <f>I32/H32-1</f>
        <v>-0.24893677346186571</v>
      </c>
      <c r="J33" s="75">
        <f>J32/I32-1</f>
        <v>-0.30426576066440159</v>
      </c>
      <c r="K33" s="75">
        <f>K32/J32-1</f>
        <v>0.12696690179055881</v>
      </c>
      <c r="L33" s="9"/>
      <c r="N33" s="23" t="s">
        <v>55</v>
      </c>
      <c r="O33" s="23"/>
      <c r="P33" s="14">
        <v>45.256999999999998</v>
      </c>
      <c r="Q33" s="10">
        <v>51.197000000000003</v>
      </c>
      <c r="R33" s="10">
        <v>52.9</v>
      </c>
      <c r="S33" s="10">
        <v>49.481000000000002</v>
      </c>
      <c r="T33" s="10">
        <v>406.72399999999999</v>
      </c>
      <c r="U33" s="6">
        <v>2299.1</v>
      </c>
      <c r="V33" s="63">
        <v>2677.027</v>
      </c>
      <c r="W33" s="62">
        <v>3044.547</v>
      </c>
      <c r="X33" s="62">
        <v>1563.9459999999999</v>
      </c>
      <c r="Y33" s="62">
        <v>2445.942</v>
      </c>
    </row>
    <row r="34" spans="2:25" x14ac:dyDescent="0.35">
      <c r="B34" s="8" t="s">
        <v>16</v>
      </c>
      <c r="C34" s="9"/>
      <c r="D34" s="9"/>
      <c r="E34" s="9"/>
      <c r="F34" s="9">
        <f t="shared" ref="F34:J34" si="24">(F32/C32)^(1/3)-1</f>
        <v>-0.16972732325029882</v>
      </c>
      <c r="G34" s="9">
        <f t="shared" si="24"/>
        <v>0.61453488560311609</v>
      </c>
      <c r="H34" s="9">
        <f t="shared" si="24"/>
        <v>0.90521983620989954</v>
      </c>
      <c r="I34" s="75">
        <f t="shared" si="24"/>
        <v>0.35533538429591793</v>
      </c>
      <c r="J34" s="75">
        <f t="shared" si="24"/>
        <v>-0.28598752021157392</v>
      </c>
      <c r="K34" s="75">
        <f>(K32/H32)^(1/3)-1</f>
        <v>-0.16180767672751772</v>
      </c>
      <c r="L34" s="9"/>
      <c r="N34" s="6" t="s">
        <v>56</v>
      </c>
      <c r="O34" s="6"/>
      <c r="P34" s="14">
        <v>5.0419999999999998</v>
      </c>
      <c r="Q34" s="10">
        <v>7.0629999999999997</v>
      </c>
      <c r="R34" s="10">
        <v>8.0310000000000006</v>
      </c>
      <c r="S34" s="10">
        <v>8.9749999999999996</v>
      </c>
      <c r="T34" s="10">
        <v>6.4450000000000003</v>
      </c>
      <c r="U34" s="6">
        <v>7.68</v>
      </c>
      <c r="V34" s="62">
        <v>8.7799999999999994</v>
      </c>
      <c r="W34" s="62">
        <v>8.0250000000000004</v>
      </c>
      <c r="X34" s="62">
        <v>7.2910000000000004</v>
      </c>
      <c r="Y34" s="62">
        <v>7.6749999999999998</v>
      </c>
    </row>
    <row r="35" spans="2:25" x14ac:dyDescent="0.35">
      <c r="K35" s="6"/>
      <c r="L35" s="6"/>
      <c r="N35" s="23" t="s">
        <v>58</v>
      </c>
      <c r="O35" s="23"/>
      <c r="P35" s="10">
        <v>60.421999999999997</v>
      </c>
      <c r="Q35" s="10">
        <v>27.087</v>
      </c>
      <c r="R35" s="10">
        <v>17.186</v>
      </c>
      <c r="S35" s="10">
        <v>71.988</v>
      </c>
      <c r="T35" s="10">
        <v>567.91600000000005</v>
      </c>
      <c r="U35" s="6">
        <v>600.34</v>
      </c>
      <c r="V35" s="62">
        <v>563.00599999999997</v>
      </c>
      <c r="W35" s="62">
        <v>74.010000000000005</v>
      </c>
      <c r="X35" s="62">
        <v>104.146</v>
      </c>
      <c r="Y35" s="62">
        <v>93.412999999999997</v>
      </c>
    </row>
    <row r="36" spans="2:25" x14ac:dyDescent="0.35">
      <c r="B36" s="1" t="s">
        <v>62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3" t="s">
        <v>9</v>
      </c>
      <c r="J36" s="3" t="s">
        <v>10</v>
      </c>
      <c r="K36" s="2" t="s">
        <v>115</v>
      </c>
      <c r="L36" s="2" t="s">
        <v>119</v>
      </c>
      <c r="N36" s="6" t="s">
        <v>59</v>
      </c>
      <c r="O36" s="6"/>
      <c r="P36" s="7">
        <v>114.23099999999999</v>
      </c>
      <c r="Q36" s="7">
        <v>22.591999999999999</v>
      </c>
      <c r="R36" s="7">
        <v>22.954999999999998</v>
      </c>
      <c r="S36" s="7">
        <v>102.75700000000001</v>
      </c>
      <c r="T36" s="7">
        <v>84.605999999999995</v>
      </c>
      <c r="U36" s="6">
        <v>87.94</v>
      </c>
      <c r="V36" s="62">
        <v>130.339</v>
      </c>
      <c r="W36" s="62">
        <v>47.625</v>
      </c>
      <c r="X36" s="62">
        <v>28.495999999999999</v>
      </c>
      <c r="Y36" s="62">
        <v>36.494</v>
      </c>
    </row>
    <row r="37" spans="2:25" ht="14.15" customHeight="1" x14ac:dyDescent="0.35">
      <c r="B37" s="31" t="s">
        <v>64</v>
      </c>
      <c r="C37" s="21">
        <v>709.178</v>
      </c>
      <c r="D37" s="6">
        <v>977.87</v>
      </c>
      <c r="E37" s="7">
        <v>2389.9169999999999</v>
      </c>
      <c r="F37" s="7">
        <v>2890.96</v>
      </c>
      <c r="G37" s="7">
        <v>3106.65</v>
      </c>
      <c r="H37" s="18">
        <v>5770.326</v>
      </c>
      <c r="I37" s="67">
        <v>9312.3799999999992</v>
      </c>
      <c r="J37" s="67">
        <f>I42</f>
        <v>8944.0559999999987</v>
      </c>
      <c r="K37" s="73">
        <f>J42</f>
        <v>10727.606999999998</v>
      </c>
      <c r="L37" s="37">
        <f>K42</f>
        <v>8722.0889999999981</v>
      </c>
      <c r="N37" s="6" t="s">
        <v>60</v>
      </c>
      <c r="O37" s="6"/>
      <c r="P37" s="7">
        <v>424.61799999999999</v>
      </c>
      <c r="Q37" s="7">
        <v>859.09500000000003</v>
      </c>
      <c r="R37" s="7">
        <v>292.98599999999999</v>
      </c>
      <c r="S37" s="7">
        <v>317.44600000000003</v>
      </c>
      <c r="T37" s="16">
        <v>209.86600000000001</v>
      </c>
      <c r="U37" s="6">
        <v>315.83999999999997</v>
      </c>
      <c r="V37" s="62">
        <v>369.29899999999998</v>
      </c>
      <c r="W37" s="62">
        <v>220.16200000000001</v>
      </c>
      <c r="X37" s="64">
        <v>214.81100000000001</v>
      </c>
      <c r="Y37" s="64">
        <v>465.27300000000002</v>
      </c>
    </row>
    <row r="38" spans="2:25" x14ac:dyDescent="0.35">
      <c r="B38" s="6" t="s">
        <v>66</v>
      </c>
      <c r="C38" s="7">
        <v>686.37199999999996</v>
      </c>
      <c r="D38" s="7">
        <v>2127.12</v>
      </c>
      <c r="E38" s="7">
        <v>1329.723</v>
      </c>
      <c r="F38" s="7">
        <v>1190.2809999999999</v>
      </c>
      <c r="G38" s="7">
        <v>4347.134</v>
      </c>
      <c r="H38" s="18">
        <v>6722.1450000000004</v>
      </c>
      <c r="I38" s="67">
        <v>3036.4050000000002</v>
      </c>
      <c r="J38" s="67">
        <v>5570.2669999999998</v>
      </c>
      <c r="K38" s="87">
        <v>3416.0590000000002</v>
      </c>
      <c r="L38" s="111">
        <v>-460.76799999999997</v>
      </c>
      <c r="N38" s="12" t="s">
        <v>61</v>
      </c>
      <c r="O38" s="12"/>
      <c r="P38" s="13">
        <f t="shared" ref="P38:T38" si="25">SUM(P40:P45)</f>
        <v>4944.3739999999998</v>
      </c>
      <c r="Q38" s="13">
        <f t="shared" si="25"/>
        <v>5964.4890000000005</v>
      </c>
      <c r="R38" s="13">
        <f t="shared" si="25"/>
        <v>5202.3310000000001</v>
      </c>
      <c r="S38" s="13">
        <f t="shared" si="25"/>
        <v>5209.0429999999988</v>
      </c>
      <c r="T38" s="13">
        <f t="shared" si="25"/>
        <v>6216.0209999999997</v>
      </c>
      <c r="U38" s="13">
        <f>SUM(U40:U45)</f>
        <v>7048.4000000000005</v>
      </c>
      <c r="V38" s="65">
        <f>SUM(V40:V45)</f>
        <v>8421.7530000000024</v>
      </c>
      <c r="W38" s="65">
        <f>SUM(W40:W45)</f>
        <v>8987.2049999999981</v>
      </c>
      <c r="X38" s="65">
        <f>SUM(X40:X45)</f>
        <v>10610.339</v>
      </c>
      <c r="Y38" s="65">
        <f>SUM(Y40:Y45)</f>
        <v>8926.384</v>
      </c>
    </row>
    <row r="39" spans="2:25" x14ac:dyDescent="0.35">
      <c r="B39" s="6" t="s">
        <v>68</v>
      </c>
      <c r="C39" s="7">
        <v>-254.51499999999999</v>
      </c>
      <c r="D39" s="7">
        <v>-146.36699999999999</v>
      </c>
      <c r="E39" s="7">
        <v>-266.09500000000003</v>
      </c>
      <c r="F39" s="7">
        <v>-69.709999999999994</v>
      </c>
      <c r="G39" s="7">
        <v>-639.21299999999997</v>
      </c>
      <c r="H39" s="18">
        <v>-1400.16</v>
      </c>
      <c r="I39" s="67">
        <v>-1468.4349999999999</v>
      </c>
      <c r="J39" s="67">
        <v>-1817.713</v>
      </c>
      <c r="K39" s="67">
        <v>-3302.453</v>
      </c>
      <c r="L39" s="62">
        <v>-1461.924</v>
      </c>
      <c r="N39" s="6" t="s">
        <v>63</v>
      </c>
      <c r="O39" s="6"/>
      <c r="P39" s="7"/>
      <c r="Q39" s="7"/>
      <c r="R39" s="7"/>
      <c r="S39" s="7"/>
      <c r="T39" s="7"/>
      <c r="U39" s="6"/>
      <c r="V39" s="64"/>
      <c r="W39" s="18"/>
      <c r="X39" s="18"/>
      <c r="Y39" s="18"/>
    </row>
    <row r="40" spans="2:25" x14ac:dyDescent="0.35">
      <c r="B40" s="6" t="s">
        <v>70</v>
      </c>
      <c r="C40" s="7">
        <v>-163.16499999999999</v>
      </c>
      <c r="D40" s="7">
        <v>-568.70600000000002</v>
      </c>
      <c r="E40" s="7">
        <v>-562.58500000000004</v>
      </c>
      <c r="F40" s="7">
        <v>-904.88</v>
      </c>
      <c r="G40" s="7">
        <v>-1044.2460000000001</v>
      </c>
      <c r="H40" s="18">
        <v>-1779.93</v>
      </c>
      <c r="I40" s="67">
        <v>-1936.2940000000001</v>
      </c>
      <c r="J40" s="67">
        <v>-1969.0029999999999</v>
      </c>
      <c r="K40" s="67">
        <v>-2119.1239999999998</v>
      </c>
      <c r="L40" s="62">
        <v>-1580.82</v>
      </c>
      <c r="N40" s="6" t="s">
        <v>65</v>
      </c>
      <c r="O40" s="6">
        <v>4127.42</v>
      </c>
      <c r="P40" s="10">
        <v>4318.2179999999998</v>
      </c>
      <c r="Q40" s="10">
        <v>5726.2830000000004</v>
      </c>
      <c r="R40" s="10">
        <f>5.347+4735.814</f>
        <v>4741.1610000000001</v>
      </c>
      <c r="S40" s="10">
        <f>6.391+4755.257</f>
        <v>4761.6479999999992</v>
      </c>
      <c r="T40" s="10">
        <f>4.515+5680.897</f>
        <v>5685.4120000000003</v>
      </c>
      <c r="U40" s="6">
        <v>5259.34</v>
      </c>
      <c r="V40" s="62">
        <v>7820.2330000000002</v>
      </c>
      <c r="W40" s="62">
        <f>(258.88+80632.34)/10</f>
        <v>8089.1220000000003</v>
      </c>
      <c r="X40" s="62">
        <f>(109.62+92664.85)/10</f>
        <v>9277.4470000000001</v>
      </c>
      <c r="Y40" s="37">
        <f>11.56+7558.87</f>
        <v>7570.43</v>
      </c>
    </row>
    <row r="41" spans="2:25" x14ac:dyDescent="0.35">
      <c r="B41" s="6" t="s">
        <v>72</v>
      </c>
      <c r="C41" s="7">
        <f t="shared" ref="C41:H41" si="26">C38+C39+C40</f>
        <v>268.69200000000001</v>
      </c>
      <c r="D41" s="7">
        <f t="shared" si="26"/>
        <v>1412.047</v>
      </c>
      <c r="E41" s="7">
        <f t="shared" si="26"/>
        <v>501.04299999999989</v>
      </c>
      <c r="F41" s="7">
        <f t="shared" si="26"/>
        <v>215.69099999999992</v>
      </c>
      <c r="G41" s="7">
        <f t="shared" si="26"/>
        <v>2663.6750000000002</v>
      </c>
      <c r="H41" s="18">
        <f t="shared" si="26"/>
        <v>3542.0550000000003</v>
      </c>
      <c r="I41" s="67">
        <f>I38+I39+I40</f>
        <v>-368.32399999999984</v>
      </c>
      <c r="J41" s="67">
        <f>J38+J39+J40</f>
        <v>1783.5510000000002</v>
      </c>
      <c r="K41" s="67">
        <f>K38+K39+K40</f>
        <v>-2005.5179999999996</v>
      </c>
      <c r="L41" s="62">
        <f>L38+L39+L40</f>
        <v>-3503.5119999999997</v>
      </c>
      <c r="N41" s="6" t="s">
        <v>67</v>
      </c>
      <c r="O41" s="6"/>
      <c r="P41" s="14">
        <v>174.16900000000001</v>
      </c>
      <c r="Q41" s="10">
        <v>119.84699999999999</v>
      </c>
      <c r="R41" s="10">
        <v>241.13</v>
      </c>
      <c r="S41" s="10">
        <v>196.81899999999999</v>
      </c>
      <c r="T41" s="10">
        <v>192.26</v>
      </c>
      <c r="U41" s="6">
        <v>966.47</v>
      </c>
      <c r="V41" s="62">
        <v>296.154</v>
      </c>
      <c r="W41" s="62">
        <f>4549.84/10</f>
        <v>454.98400000000004</v>
      </c>
      <c r="X41" s="62">
        <v>755.73199999999997</v>
      </c>
      <c r="Y41" s="62">
        <v>738.101</v>
      </c>
    </row>
    <row r="42" spans="2:25" x14ac:dyDescent="0.35">
      <c r="B42" s="12" t="s">
        <v>74</v>
      </c>
      <c r="C42" s="13">
        <f t="shared" ref="C42:D42" si="27">C37+C41</f>
        <v>977.87</v>
      </c>
      <c r="D42" s="13">
        <f t="shared" si="27"/>
        <v>2389.9169999999999</v>
      </c>
      <c r="E42" s="13">
        <f>E37+E41</f>
        <v>2890.96</v>
      </c>
      <c r="F42" s="13">
        <f>F37+F41</f>
        <v>3106.6509999999998</v>
      </c>
      <c r="G42" s="13">
        <f t="shared" ref="G42:H42" si="28">G37+G41</f>
        <v>5770.3250000000007</v>
      </c>
      <c r="H42" s="13">
        <f t="shared" si="28"/>
        <v>9312.3810000000012</v>
      </c>
      <c r="I42" s="71">
        <f>I37+I41</f>
        <v>8944.0559999999987</v>
      </c>
      <c r="J42" s="71">
        <f>J37+J41</f>
        <v>10727.606999999998</v>
      </c>
      <c r="K42" s="71">
        <f>K37+K41</f>
        <v>8722.0889999999981</v>
      </c>
      <c r="L42" s="13">
        <f>L37+L41</f>
        <v>5218.5769999999984</v>
      </c>
      <c r="N42" s="6" t="s">
        <v>69</v>
      </c>
      <c r="O42" s="6"/>
      <c r="P42" s="7">
        <v>0</v>
      </c>
      <c r="Q42" s="7">
        <v>0</v>
      </c>
      <c r="R42" s="7">
        <v>0</v>
      </c>
      <c r="S42" s="7">
        <v>122.116</v>
      </c>
      <c r="T42" s="7">
        <v>148.37799999999999</v>
      </c>
      <c r="U42" s="6">
        <v>205.62</v>
      </c>
      <c r="V42" s="62">
        <v>142.875</v>
      </c>
      <c r="W42" s="62">
        <v>158.876</v>
      </c>
      <c r="X42" s="62">
        <v>241.8</v>
      </c>
      <c r="Y42" s="62">
        <v>293.23</v>
      </c>
    </row>
    <row r="43" spans="2:25" x14ac:dyDescent="0.35">
      <c r="J43" s="32"/>
      <c r="K43" s="6"/>
      <c r="L43" s="6"/>
      <c r="N43" s="6" t="s">
        <v>71</v>
      </c>
      <c r="O43" s="6"/>
      <c r="P43" s="10">
        <v>314.315</v>
      </c>
      <c r="Q43" s="10">
        <v>81.006</v>
      </c>
      <c r="R43" s="10">
        <v>185.81899999999999</v>
      </c>
      <c r="S43" s="10">
        <v>104.455</v>
      </c>
      <c r="T43" s="10">
        <v>152.40600000000001</v>
      </c>
      <c r="U43" s="6">
        <v>589.85</v>
      </c>
      <c r="V43" s="62">
        <v>134.495</v>
      </c>
      <c r="W43" s="62">
        <v>193.44200000000001</v>
      </c>
      <c r="X43" s="62">
        <v>176.30600000000001</v>
      </c>
      <c r="Y43" s="62">
        <v>283.52699999999999</v>
      </c>
    </row>
    <row r="44" spans="2:25" x14ac:dyDescent="0.35">
      <c r="B44" s="33" t="s">
        <v>77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8</v>
      </c>
      <c r="I44" s="34" t="s">
        <v>9</v>
      </c>
      <c r="J44" s="34" t="s">
        <v>10</v>
      </c>
      <c r="K44" s="2" t="s">
        <v>115</v>
      </c>
      <c r="L44" s="2" t="s">
        <v>119</v>
      </c>
      <c r="N44" s="6" t="s">
        <v>73</v>
      </c>
      <c r="O44" s="6"/>
      <c r="P44" s="14">
        <v>17.443999999999999</v>
      </c>
      <c r="Q44" s="10">
        <v>19.254000000000001</v>
      </c>
      <c r="R44" s="10">
        <v>16</v>
      </c>
      <c r="S44" s="10">
        <v>21.364000000000001</v>
      </c>
      <c r="T44" s="10">
        <v>24.673999999999999</v>
      </c>
      <c r="U44" s="6">
        <v>26.13</v>
      </c>
      <c r="V44" s="62">
        <v>21.876999999999999</v>
      </c>
      <c r="W44" s="62">
        <v>28.603000000000002</v>
      </c>
      <c r="X44" s="62">
        <v>39.848999999999997</v>
      </c>
      <c r="Y44" s="62">
        <v>41.095999999999997</v>
      </c>
    </row>
    <row r="45" spans="2:25" x14ac:dyDescent="0.35">
      <c r="B45" s="33" t="s">
        <v>79</v>
      </c>
      <c r="C45" s="35">
        <f t="shared" ref="C45:H45" si="29">C38</f>
        <v>686.37199999999996</v>
      </c>
      <c r="D45" s="35">
        <f t="shared" si="29"/>
        <v>2127.12</v>
      </c>
      <c r="E45" s="35">
        <f t="shared" si="29"/>
        <v>1329.723</v>
      </c>
      <c r="F45" s="35">
        <f t="shared" si="29"/>
        <v>1190.2809999999999</v>
      </c>
      <c r="G45" s="35">
        <f t="shared" si="29"/>
        <v>4347.134</v>
      </c>
      <c r="H45" s="35">
        <f t="shared" si="29"/>
        <v>6722.1450000000004</v>
      </c>
      <c r="I45" s="72">
        <f>I38</f>
        <v>3036.4050000000002</v>
      </c>
      <c r="J45" s="72">
        <f>J38</f>
        <v>5570.2669999999998</v>
      </c>
      <c r="K45" s="82">
        <f>K38</f>
        <v>3416.0590000000002</v>
      </c>
      <c r="L45" s="100">
        <f>L38</f>
        <v>-460.76799999999997</v>
      </c>
      <c r="N45" s="6" t="s">
        <v>75</v>
      </c>
      <c r="O45" s="6"/>
      <c r="P45" s="7">
        <v>120.22799999999999</v>
      </c>
      <c r="Q45" s="7">
        <v>18.099</v>
      </c>
      <c r="R45" s="7">
        <v>18.221</v>
      </c>
      <c r="S45" s="7">
        <v>2.641</v>
      </c>
      <c r="T45" s="7">
        <v>12.891</v>
      </c>
      <c r="U45" s="6">
        <v>0.99</v>
      </c>
      <c r="V45" s="62">
        <v>6.1189999999999998</v>
      </c>
      <c r="W45" s="62">
        <v>62.177999999999997</v>
      </c>
      <c r="X45" s="62">
        <v>119.205</v>
      </c>
      <c r="Y45" s="62">
        <v>0</v>
      </c>
    </row>
    <row r="46" spans="2:25" x14ac:dyDescent="0.35">
      <c r="B46" s="36" t="s">
        <v>81</v>
      </c>
      <c r="C46" s="37">
        <f t="shared" ref="C46:K46" si="30">(P16-O16)+C18</f>
        <v>262.7369999999998</v>
      </c>
      <c r="D46" s="37">
        <f t="shared" si="30"/>
        <v>176.06399999999982</v>
      </c>
      <c r="E46" s="37">
        <f t="shared" si="30"/>
        <v>211.08700000000019</v>
      </c>
      <c r="F46" s="37">
        <f t="shared" si="30"/>
        <v>475.78700000000009</v>
      </c>
      <c r="G46" s="37">
        <f t="shared" si="30"/>
        <v>164.65299999999996</v>
      </c>
      <c r="H46" s="37">
        <f t="shared" si="30"/>
        <v>249.08100000000019</v>
      </c>
      <c r="I46" s="73">
        <f t="shared" si="30"/>
        <v>2561.0990000000002</v>
      </c>
      <c r="J46" s="73">
        <f t="shared" si="30"/>
        <v>2054.4129999999996</v>
      </c>
      <c r="K46" s="73">
        <f t="shared" si="30"/>
        <v>1011.419</v>
      </c>
      <c r="L46" s="37">
        <v>1252.8789999999999</v>
      </c>
      <c r="N46" s="12" t="s">
        <v>76</v>
      </c>
      <c r="O46" s="12"/>
      <c r="P46" s="13">
        <f>P27-P38</f>
        <v>2770.2700000000004</v>
      </c>
      <c r="Q46" s="13">
        <f t="shared" ref="Q46:W46" si="31">Q27-Q38</f>
        <v>3422.4979999999987</v>
      </c>
      <c r="R46" s="13">
        <f t="shared" si="31"/>
        <v>3327.1790000000001</v>
      </c>
      <c r="S46" s="13">
        <f t="shared" si="31"/>
        <v>3463.9049999999997</v>
      </c>
      <c r="T46" s="13">
        <f t="shared" si="31"/>
        <v>7434.5719999999992</v>
      </c>
      <c r="U46" s="13">
        <f t="shared" si="31"/>
        <v>10401.149999999998</v>
      </c>
      <c r="V46" s="65">
        <f t="shared" si="31"/>
        <v>11862.576999999999</v>
      </c>
      <c r="W46" s="65">
        <f t="shared" si="31"/>
        <v>11040.013999999999</v>
      </c>
      <c r="X46" s="65">
        <f>X27-X38</f>
        <v>9602.9090000000033</v>
      </c>
      <c r="Y46" s="65">
        <f>Y27-Y38</f>
        <v>8083.8119999999999</v>
      </c>
    </row>
    <row r="47" spans="2:25" x14ac:dyDescent="0.35">
      <c r="B47" s="38" t="s">
        <v>83</v>
      </c>
      <c r="C47" s="39">
        <f t="shared" ref="C47:G47" si="32">C45-C46</f>
        <v>423.63500000000016</v>
      </c>
      <c r="D47" s="39">
        <f t="shared" si="32"/>
        <v>1951.056</v>
      </c>
      <c r="E47" s="39">
        <f t="shared" si="32"/>
        <v>1118.6359999999997</v>
      </c>
      <c r="F47" s="39">
        <f t="shared" si="32"/>
        <v>714.49399999999991</v>
      </c>
      <c r="G47" s="39">
        <f t="shared" si="32"/>
        <v>4182.4809999999998</v>
      </c>
      <c r="H47" s="39">
        <f>H45-H46</f>
        <v>6473.0640000000003</v>
      </c>
      <c r="I47" s="70">
        <f>I45-I46</f>
        <v>475.30600000000004</v>
      </c>
      <c r="J47" s="70">
        <f>J45-J46</f>
        <v>3515.8540000000003</v>
      </c>
      <c r="K47" s="70">
        <f>K45-K46</f>
        <v>2404.6400000000003</v>
      </c>
      <c r="L47" s="39">
        <f>L45-L46</f>
        <v>-1713.6469999999999</v>
      </c>
      <c r="N47" s="6" t="s">
        <v>78</v>
      </c>
      <c r="O47" s="6"/>
      <c r="P47" s="10">
        <v>26.69</v>
      </c>
      <c r="Q47" s="10">
        <v>18.925999999999998</v>
      </c>
      <c r="R47" s="10">
        <v>22.594999999999999</v>
      </c>
      <c r="S47" s="10">
        <v>29.106000000000002</v>
      </c>
      <c r="T47" s="10">
        <v>36.393999999999998</v>
      </c>
      <c r="U47" s="6">
        <v>34.25</v>
      </c>
      <c r="V47" s="62">
        <v>36.200000000000003</v>
      </c>
      <c r="W47" s="62">
        <v>72.698999999999998</v>
      </c>
      <c r="X47" s="62">
        <v>63.94</v>
      </c>
      <c r="Y47" s="62">
        <v>63.192</v>
      </c>
    </row>
    <row r="48" spans="2:25" x14ac:dyDescent="0.35">
      <c r="B48" s="40"/>
      <c r="C48" s="41"/>
      <c r="D48" s="41"/>
      <c r="E48" s="41"/>
      <c r="F48" s="41"/>
      <c r="G48" s="41"/>
      <c r="H48" s="41"/>
      <c r="I48" s="41"/>
      <c r="J48" s="73"/>
      <c r="K48" s="37"/>
      <c r="L48" s="37"/>
      <c r="N48" s="6" t="s">
        <v>80</v>
      </c>
      <c r="O48" s="6"/>
      <c r="P48" s="10">
        <v>26.324999999999999</v>
      </c>
      <c r="Q48" s="10">
        <v>30.798999999999999</v>
      </c>
      <c r="R48" s="10">
        <v>36.14</v>
      </c>
      <c r="S48" s="10">
        <v>34.649000000000001</v>
      </c>
      <c r="T48" s="10">
        <v>33.377000000000002</v>
      </c>
      <c r="U48" s="6">
        <v>33.14</v>
      </c>
      <c r="V48" s="62">
        <v>35.832999999999998</v>
      </c>
      <c r="W48" s="62">
        <v>41.3</v>
      </c>
      <c r="X48" s="62">
        <v>41.8</v>
      </c>
      <c r="Y48" s="62">
        <v>37.966000000000001</v>
      </c>
    </row>
    <row r="49" spans="2:27" x14ac:dyDescent="0.35">
      <c r="B49" s="33" t="s">
        <v>77</v>
      </c>
      <c r="C49" s="4" t="s">
        <v>3</v>
      </c>
      <c r="D49" s="4" t="s">
        <v>4</v>
      </c>
      <c r="E49" s="4" t="s">
        <v>5</v>
      </c>
      <c r="F49" s="4" t="s">
        <v>6</v>
      </c>
      <c r="G49" s="4" t="s">
        <v>7</v>
      </c>
      <c r="H49" s="4" t="s">
        <v>8</v>
      </c>
      <c r="I49" s="34" t="s">
        <v>9</v>
      </c>
      <c r="J49" s="3" t="s">
        <v>10</v>
      </c>
      <c r="K49" s="2" t="s">
        <v>115</v>
      </c>
      <c r="L49" s="2" t="s">
        <v>123</v>
      </c>
      <c r="N49" s="6" t="s">
        <v>82</v>
      </c>
      <c r="O49" s="6"/>
      <c r="P49" s="7">
        <v>0</v>
      </c>
      <c r="Q49" s="7">
        <v>0</v>
      </c>
      <c r="R49" s="7">
        <v>0</v>
      </c>
      <c r="S49" s="7">
        <v>170.71700000000001</v>
      </c>
      <c r="T49" s="7">
        <v>262.22199999999998</v>
      </c>
      <c r="U49" s="21">
        <v>166.709</v>
      </c>
      <c r="V49" s="62">
        <v>23.684999999999999</v>
      </c>
      <c r="W49" s="62">
        <v>982.56</v>
      </c>
      <c r="X49" s="62">
        <v>1053.489</v>
      </c>
      <c r="Y49" s="62">
        <v>1109.674</v>
      </c>
    </row>
    <row r="50" spans="2:27" x14ac:dyDescent="0.35">
      <c r="B50" s="6" t="s">
        <v>87</v>
      </c>
      <c r="C50" s="42">
        <f t="shared" ref="C50:H50" si="33">94020671*2</f>
        <v>188041342</v>
      </c>
      <c r="D50" s="42">
        <f t="shared" si="33"/>
        <v>188041342</v>
      </c>
      <c r="E50" s="42">
        <f t="shared" si="33"/>
        <v>188041342</v>
      </c>
      <c r="F50" s="42">
        <f t="shared" si="33"/>
        <v>188041342</v>
      </c>
      <c r="G50" s="42">
        <f t="shared" si="33"/>
        <v>188041342</v>
      </c>
      <c r="H50" s="42">
        <f t="shared" si="33"/>
        <v>188041342</v>
      </c>
      <c r="I50" s="66">
        <f>94020671*2</f>
        <v>188041342</v>
      </c>
      <c r="J50" s="66">
        <f>94020671*2</f>
        <v>188041342</v>
      </c>
      <c r="K50" s="83">
        <v>188041342</v>
      </c>
      <c r="L50" s="83">
        <v>188041342</v>
      </c>
      <c r="N50" s="6" t="s">
        <v>84</v>
      </c>
      <c r="O50" s="6"/>
      <c r="P50" s="7">
        <v>478.69400000000002</v>
      </c>
      <c r="Q50" s="7">
        <v>487.4</v>
      </c>
      <c r="R50" s="7">
        <v>523.30499999999995</v>
      </c>
      <c r="S50" s="7">
        <v>374.26400000000001</v>
      </c>
      <c r="T50" s="7">
        <v>356.91500000000002</v>
      </c>
      <c r="U50" s="6">
        <v>344.09</v>
      </c>
      <c r="V50" s="62">
        <v>354.072</v>
      </c>
      <c r="W50" s="62">
        <v>373.40199999999999</v>
      </c>
      <c r="X50" s="62">
        <v>398.55</v>
      </c>
      <c r="Y50" s="62">
        <v>487.22399999999999</v>
      </c>
    </row>
    <row r="51" spans="2:27" x14ac:dyDescent="0.35">
      <c r="B51" s="6" t="s">
        <v>88</v>
      </c>
      <c r="C51" s="18">
        <f t="shared" ref="C51:L51" si="34">P56*C50/1000000</f>
        <v>28436.551943950002</v>
      </c>
      <c r="D51" s="18">
        <f t="shared" si="34"/>
        <v>30171.233323899996</v>
      </c>
      <c r="E51" s="18">
        <f t="shared" si="34"/>
        <v>21065.33133755</v>
      </c>
      <c r="F51" s="18">
        <f t="shared" si="34"/>
        <v>12194.481028699998</v>
      </c>
      <c r="G51" s="18">
        <f t="shared" si="34"/>
        <v>38205.299660849996</v>
      </c>
      <c r="H51" s="18">
        <f t="shared" si="34"/>
        <v>86931.512406599999</v>
      </c>
      <c r="I51" s="67">
        <f t="shared" si="34"/>
        <v>69744.5337478</v>
      </c>
      <c r="J51" s="67">
        <f t="shared" si="34"/>
        <v>117140.35399890001</v>
      </c>
      <c r="K51" s="67">
        <f t="shared" si="34"/>
        <v>117995.94210499999</v>
      </c>
      <c r="L51" s="62">
        <f>Y56*L50/1000000</f>
        <v>121004.603577</v>
      </c>
      <c r="N51" s="12" t="s">
        <v>85</v>
      </c>
      <c r="O51" s="12"/>
      <c r="P51" s="13">
        <f t="shared" ref="P51:Y51" si="35">SUM(P15+P27)</f>
        <v>11297.085999999999</v>
      </c>
      <c r="Q51" s="13">
        <f t="shared" si="35"/>
        <v>12957.521999999999</v>
      </c>
      <c r="R51" s="13">
        <f t="shared" si="35"/>
        <v>12208.66</v>
      </c>
      <c r="S51" s="13">
        <f t="shared" si="35"/>
        <v>12550.55</v>
      </c>
      <c r="T51" s="13">
        <f t="shared" si="35"/>
        <v>17553.377</v>
      </c>
      <c r="U51" s="13">
        <f t="shared" si="35"/>
        <v>22782.87</v>
      </c>
      <c r="V51" s="65">
        <f t="shared" si="35"/>
        <v>27310.194000000003</v>
      </c>
      <c r="W51" s="65">
        <f t="shared" si="35"/>
        <v>30648.291999999998</v>
      </c>
      <c r="X51" s="65">
        <f t="shared" si="35"/>
        <v>34480.995000000003</v>
      </c>
      <c r="Y51" s="65">
        <f t="shared" si="35"/>
        <v>32823.285000000003</v>
      </c>
    </row>
    <row r="52" spans="2:27" x14ac:dyDescent="0.35">
      <c r="B52" s="6" t="s">
        <v>90</v>
      </c>
      <c r="C52" s="43">
        <f t="shared" ref="C52:J52" si="36">P10</f>
        <v>0</v>
      </c>
      <c r="D52" s="43">
        <f t="shared" si="36"/>
        <v>0</v>
      </c>
      <c r="E52" s="43">
        <f t="shared" si="36"/>
        <v>0</v>
      </c>
      <c r="F52" s="43">
        <f t="shared" si="36"/>
        <v>0</v>
      </c>
      <c r="G52" s="43">
        <f t="shared" si="36"/>
        <v>0</v>
      </c>
      <c r="H52" s="43">
        <f t="shared" si="36"/>
        <v>0</v>
      </c>
      <c r="I52" s="68">
        <f t="shared" si="36"/>
        <v>0</v>
      </c>
      <c r="J52" s="68">
        <f t="shared" si="36"/>
        <v>0</v>
      </c>
      <c r="K52" s="68">
        <f>X10</f>
        <v>0</v>
      </c>
      <c r="L52" s="101">
        <f>Y10</f>
        <v>0</v>
      </c>
      <c r="N52" s="12" t="s">
        <v>86</v>
      </c>
      <c r="O52" s="12"/>
      <c r="P52" s="13">
        <f t="shared" ref="P52:Y52" si="37">SUM(P38+P6+P47+P48+P49+P50)</f>
        <v>11297.086000000001</v>
      </c>
      <c r="Q52" s="13">
        <f t="shared" si="37"/>
        <v>12957.522000000001</v>
      </c>
      <c r="R52" s="13">
        <f t="shared" si="37"/>
        <v>12208.66</v>
      </c>
      <c r="S52" s="13">
        <f t="shared" si="37"/>
        <v>12550.549999999997</v>
      </c>
      <c r="T52" s="13">
        <f t="shared" si="37"/>
        <v>17553.377000000004</v>
      </c>
      <c r="U52" s="13">
        <f t="shared" si="37"/>
        <v>22782.909</v>
      </c>
      <c r="V52" s="65">
        <f t="shared" si="37"/>
        <v>27310.203000000009</v>
      </c>
      <c r="W52" s="65">
        <f t="shared" si="37"/>
        <v>30648.291999999994</v>
      </c>
      <c r="X52" s="65">
        <f t="shared" si="37"/>
        <v>34481.002000000008</v>
      </c>
      <c r="Y52" s="65">
        <f t="shared" si="37"/>
        <v>32823.292999999998</v>
      </c>
    </row>
    <row r="53" spans="2:27" x14ac:dyDescent="0.35">
      <c r="B53" s="6" t="s">
        <v>91</v>
      </c>
      <c r="C53" s="21">
        <f t="shared" ref="C53:K54" si="38">P32</f>
        <v>932.61300000000006</v>
      </c>
      <c r="D53" s="21">
        <f t="shared" si="38"/>
        <v>1232.694</v>
      </c>
      <c r="E53" s="21">
        <f t="shared" si="38"/>
        <v>330.09899999999999</v>
      </c>
      <c r="F53" s="21">
        <f t="shared" si="38"/>
        <v>1709.0440000000001</v>
      </c>
      <c r="G53" s="21">
        <f t="shared" si="38"/>
        <v>660.77099999999996</v>
      </c>
      <c r="H53" s="21">
        <f t="shared" si="38"/>
        <v>2175.38</v>
      </c>
      <c r="I53" s="69">
        <f t="shared" si="38"/>
        <v>818.14499999999998</v>
      </c>
      <c r="J53" s="69">
        <f t="shared" si="38"/>
        <v>2159.145</v>
      </c>
      <c r="K53" s="84">
        <f t="shared" si="38"/>
        <v>3054.0839999999998</v>
      </c>
      <c r="L53" s="112" t="s">
        <v>101</v>
      </c>
    </row>
    <row r="54" spans="2:27" x14ac:dyDescent="0.35">
      <c r="B54" s="6" t="s">
        <v>93</v>
      </c>
      <c r="C54" s="21">
        <f t="shared" si="38"/>
        <v>45.256999999999998</v>
      </c>
      <c r="D54" s="21">
        <f t="shared" si="38"/>
        <v>51.197000000000003</v>
      </c>
      <c r="E54" s="21">
        <f t="shared" si="38"/>
        <v>52.9</v>
      </c>
      <c r="F54" s="21">
        <f t="shared" si="38"/>
        <v>49.481000000000002</v>
      </c>
      <c r="G54" s="21">
        <f t="shared" si="38"/>
        <v>406.72399999999999</v>
      </c>
      <c r="H54" s="21">
        <f t="shared" si="38"/>
        <v>2299.1</v>
      </c>
      <c r="I54" s="69">
        <f t="shared" si="38"/>
        <v>2677.027</v>
      </c>
      <c r="J54" s="69">
        <f t="shared" si="38"/>
        <v>3044.547</v>
      </c>
      <c r="K54" s="84">
        <f t="shared" si="38"/>
        <v>1563.9459999999999</v>
      </c>
      <c r="L54" s="112" t="s">
        <v>101</v>
      </c>
      <c r="N54" s="98" t="s">
        <v>89</v>
      </c>
      <c r="O54" s="98"/>
      <c r="P54" s="98"/>
      <c r="Q54" s="98"/>
      <c r="R54" s="98"/>
      <c r="S54" s="98"/>
      <c r="T54" s="98"/>
      <c r="U54" s="98"/>
      <c r="V54" s="98"/>
      <c r="W54" s="98"/>
      <c r="X54" s="99"/>
    </row>
    <row r="55" spans="2:27" x14ac:dyDescent="0.35">
      <c r="B55" s="12" t="s">
        <v>95</v>
      </c>
      <c r="C55" s="44">
        <f t="shared" ref="C55:H55" si="39">C51+C52-C53-C54</f>
        <v>27458.68194395</v>
      </c>
      <c r="D55" s="44">
        <f t="shared" si="39"/>
        <v>28887.342323899997</v>
      </c>
      <c r="E55" s="44">
        <f t="shared" si="39"/>
        <v>20682.33233755</v>
      </c>
      <c r="F55" s="44">
        <f t="shared" si="39"/>
        <v>10435.956028699999</v>
      </c>
      <c r="G55" s="44">
        <f t="shared" si="39"/>
        <v>37137.804660849994</v>
      </c>
      <c r="H55" s="44">
        <f t="shared" si="39"/>
        <v>82457.032406599988</v>
      </c>
      <c r="I55" s="44">
        <f>I51+I52-I53-I54</f>
        <v>66249.361747799994</v>
      </c>
      <c r="J55" s="80">
        <f>J51+J52-J53-J54</f>
        <v>111936.6619989</v>
      </c>
      <c r="K55" s="80">
        <f>K51+K52-K53-K54</f>
        <v>113377.912105</v>
      </c>
      <c r="L55" s="113" t="s">
        <v>101</v>
      </c>
      <c r="N55" s="36"/>
      <c r="O55" s="36"/>
      <c r="P55" s="4" t="s">
        <v>3</v>
      </c>
      <c r="Q55" s="4" t="s">
        <v>4</v>
      </c>
      <c r="R55" s="4" t="s">
        <v>5</v>
      </c>
      <c r="S55" s="4" t="s">
        <v>6</v>
      </c>
      <c r="T55" s="4" t="s">
        <v>7</v>
      </c>
      <c r="U55" s="4" t="s">
        <v>8</v>
      </c>
      <c r="V55" s="4" t="s">
        <v>9</v>
      </c>
      <c r="W55" s="4" t="s">
        <v>10</v>
      </c>
      <c r="X55" s="85" t="s">
        <v>115</v>
      </c>
      <c r="Y55" s="96" t="s">
        <v>123</v>
      </c>
      <c r="AA55" s="97"/>
    </row>
    <row r="56" spans="2:27" x14ac:dyDescent="0.35">
      <c r="I56" s="46"/>
      <c r="J56" s="46"/>
      <c r="K56" s="46"/>
      <c r="L56" s="46"/>
      <c r="N56" s="90" t="s">
        <v>92</v>
      </c>
      <c r="O56" s="90"/>
      <c r="P56" s="52">
        <f>302.45/2</f>
        <v>151.22499999999999</v>
      </c>
      <c r="Q56" s="52">
        <f>320.9/2</f>
        <v>160.44999999999999</v>
      </c>
      <c r="R56" s="52">
        <f>224.05/2</f>
        <v>112.02500000000001</v>
      </c>
      <c r="S56" s="52">
        <f>129.7/2</f>
        <v>64.849999999999994</v>
      </c>
      <c r="T56" s="52">
        <f>406.35/2</f>
        <v>203.17500000000001</v>
      </c>
      <c r="U56" s="26">
        <f>924.6/2</f>
        <v>462.3</v>
      </c>
      <c r="V56" s="55">
        <v>370.9</v>
      </c>
      <c r="W56" s="55">
        <v>622.95000000000005</v>
      </c>
      <c r="X56" s="55">
        <v>627.5</v>
      </c>
      <c r="Y56" s="55">
        <v>643.5</v>
      </c>
      <c r="AA56" s="95"/>
    </row>
    <row r="57" spans="2:27" x14ac:dyDescent="0.35">
      <c r="I57" s="47"/>
      <c r="J57" s="47"/>
      <c r="K57" s="47"/>
      <c r="L57" s="47"/>
      <c r="M57" s="80"/>
      <c r="N57" s="90" t="s">
        <v>94</v>
      </c>
      <c r="O57" s="90"/>
      <c r="P57" s="52">
        <f t="shared" ref="P57:X57" si="40">C32</f>
        <v>18.59</v>
      </c>
      <c r="Q57" s="52">
        <f t="shared" si="40"/>
        <v>12.03</v>
      </c>
      <c r="R57" s="52">
        <f t="shared" si="40"/>
        <v>5.0999999999999996</v>
      </c>
      <c r="S57" s="52">
        <f t="shared" si="40"/>
        <v>10.64</v>
      </c>
      <c r="T57" s="52">
        <f t="shared" si="40"/>
        <v>50.63</v>
      </c>
      <c r="U57" s="52">
        <f t="shared" si="40"/>
        <v>35.270000000000003</v>
      </c>
      <c r="V57" s="59">
        <f t="shared" si="40"/>
        <v>26.49</v>
      </c>
      <c r="W57" s="59">
        <f t="shared" si="40"/>
        <v>18.43</v>
      </c>
      <c r="X57" s="59">
        <f t="shared" si="40"/>
        <v>20.77</v>
      </c>
      <c r="Y57" s="59">
        <f>X57+L32-15.08</f>
        <v>14.160000000000002</v>
      </c>
      <c r="Z57" t="s">
        <v>122</v>
      </c>
      <c r="AA57">
        <v>6.87</v>
      </c>
    </row>
    <row r="58" spans="2:27" x14ac:dyDescent="0.35">
      <c r="I58" s="47"/>
      <c r="J58" s="47"/>
      <c r="K58" s="68"/>
      <c r="L58" s="46"/>
      <c r="N58" s="90" t="s">
        <v>96</v>
      </c>
      <c r="O58" s="90"/>
      <c r="P58" s="45">
        <f t="shared" ref="P58:Y58" si="41">P6*1000000/C50</f>
        <v>30.955974564359369</v>
      </c>
      <c r="Q58" s="45">
        <f t="shared" si="41"/>
        <v>34.332386332363015</v>
      </c>
      <c r="R58" s="45">
        <f t="shared" si="41"/>
        <v>34.164237138873432</v>
      </c>
      <c r="S58" s="45">
        <f t="shared" si="41"/>
        <v>35.804738087861551</v>
      </c>
      <c r="T58" s="45">
        <f t="shared" si="41"/>
        <v>56.628228062741648</v>
      </c>
      <c r="U58" s="45">
        <f t="shared" si="41"/>
        <v>80.600998901613877</v>
      </c>
      <c r="V58" s="58">
        <f t="shared" si="41"/>
        <v>98.056415700330433</v>
      </c>
      <c r="W58" s="58">
        <f t="shared" si="41"/>
        <v>107.37599394499108</v>
      </c>
      <c r="X58" s="58">
        <f t="shared" si="41"/>
        <v>118.65945947141773</v>
      </c>
      <c r="Y58" s="58" t="s">
        <v>101</v>
      </c>
    </row>
    <row r="59" spans="2:27" x14ac:dyDescent="0.35">
      <c r="I59" s="50"/>
      <c r="J59" s="50"/>
      <c r="K59" s="50"/>
      <c r="L59" s="50"/>
      <c r="N59" s="90" t="s">
        <v>97</v>
      </c>
      <c r="O59" s="26"/>
      <c r="P59" s="48">
        <v>4.5</v>
      </c>
      <c r="Q59" s="48">
        <v>4.5</v>
      </c>
      <c r="R59" s="48">
        <v>3</v>
      </c>
      <c r="S59" s="48">
        <v>5.5</v>
      </c>
      <c r="T59" s="48">
        <v>15</v>
      </c>
      <c r="U59" s="48">
        <v>18</v>
      </c>
      <c r="V59" s="91">
        <v>11</v>
      </c>
      <c r="W59" s="92">
        <v>9</v>
      </c>
      <c r="X59" s="92">
        <v>10</v>
      </c>
      <c r="Y59" s="114" t="s">
        <v>101</v>
      </c>
      <c r="Z59" s="102"/>
    </row>
    <row r="60" spans="2:27" x14ac:dyDescent="0.35">
      <c r="N60" s="90" t="s">
        <v>98</v>
      </c>
      <c r="O60" s="90"/>
      <c r="P60" s="48">
        <f t="shared" ref="P60:U60" si="42">P56/P57</f>
        <v>8.1347498655190957</v>
      </c>
      <c r="Q60" s="48">
        <f t="shared" si="42"/>
        <v>13.337489609310058</v>
      </c>
      <c r="R60" s="48">
        <f t="shared" si="42"/>
        <v>21.965686274509807</v>
      </c>
      <c r="S60" s="48">
        <f t="shared" si="42"/>
        <v>6.0949248120300741</v>
      </c>
      <c r="T60" s="48">
        <f t="shared" si="42"/>
        <v>4.0129369938771475</v>
      </c>
      <c r="U60" s="48">
        <f t="shared" si="42"/>
        <v>13.107456762120782</v>
      </c>
      <c r="V60" s="59">
        <f>V56/V57</f>
        <v>14.00151000377501</v>
      </c>
      <c r="W60" s="59">
        <f>W56/W57</f>
        <v>33.800868149755836</v>
      </c>
      <c r="X60" s="59">
        <f>X56/X57</f>
        <v>30.211844005777564</v>
      </c>
      <c r="Y60" s="59">
        <f>Y56/Y57</f>
        <v>45.44491525423728</v>
      </c>
    </row>
    <row r="61" spans="2:27" x14ac:dyDescent="0.35">
      <c r="N61" s="90" t="s">
        <v>99</v>
      </c>
      <c r="O61" s="90"/>
      <c r="P61" s="49">
        <f t="shared" ref="P61:U61" si="43">P56/P58</f>
        <v>4.8851635953374348</v>
      </c>
      <c r="Q61" s="49">
        <f t="shared" si="43"/>
        <v>4.6734298759988526</v>
      </c>
      <c r="R61" s="49">
        <f t="shared" si="43"/>
        <v>3.2790136523356903</v>
      </c>
      <c r="S61" s="49">
        <f t="shared" si="43"/>
        <v>1.8112128020840155</v>
      </c>
      <c r="T61" s="49">
        <f t="shared" si="43"/>
        <v>3.5878749335912619</v>
      </c>
      <c r="U61" s="49">
        <f t="shared" si="43"/>
        <v>5.7356609260427334</v>
      </c>
      <c r="V61" s="60">
        <f>V56/V58</f>
        <v>3.7825163947813984</v>
      </c>
      <c r="W61" s="60">
        <f>W56/W58</f>
        <v>5.8015760982770361</v>
      </c>
      <c r="X61" s="60">
        <f>X56/X58</f>
        <v>5.2882425286215797</v>
      </c>
      <c r="Y61" s="60" t="s">
        <v>101</v>
      </c>
    </row>
    <row r="62" spans="2:27" x14ac:dyDescent="0.35">
      <c r="E62" t="s">
        <v>104</v>
      </c>
      <c r="N62" s="90" t="s">
        <v>100</v>
      </c>
      <c r="O62" s="90"/>
      <c r="P62" s="48">
        <f t="shared" ref="P62:X62" si="44">C55/C14</f>
        <v>9.236732725353793</v>
      </c>
      <c r="Q62" s="48">
        <f t="shared" si="44"/>
        <v>14.719289864665845</v>
      </c>
      <c r="R62" s="48">
        <f t="shared" si="44"/>
        <v>22.154498781586437</v>
      </c>
      <c r="S62" s="48">
        <f t="shared" si="44"/>
        <v>7.0278164441227107</v>
      </c>
      <c r="T62" s="48">
        <f t="shared" si="44"/>
        <v>5.5518471613270197</v>
      </c>
      <c r="U62" s="48">
        <f t="shared" si="44"/>
        <v>9.1219363811756917</v>
      </c>
      <c r="V62" s="48">
        <f t="shared" si="44"/>
        <v>10.079129420737349</v>
      </c>
      <c r="W62" s="48">
        <f t="shared" si="44"/>
        <v>23.980444450302517</v>
      </c>
      <c r="X62" s="48">
        <f t="shared" si="44"/>
        <v>21.286945557136569</v>
      </c>
      <c r="Y62" s="59" t="s">
        <v>101</v>
      </c>
    </row>
    <row r="63" spans="2:27" x14ac:dyDescent="0.35">
      <c r="N63" s="90" t="s">
        <v>102</v>
      </c>
      <c r="O63" s="90"/>
      <c r="P63" s="51">
        <f t="shared" ref="P63:X63" si="45">C23/P6</f>
        <v>0.30821664238963625</v>
      </c>
      <c r="Q63" s="51">
        <f t="shared" si="45"/>
        <v>0.17985076615094317</v>
      </c>
      <c r="R63" s="51">
        <f t="shared" si="45"/>
        <v>7.6590576793789819E-2</v>
      </c>
      <c r="S63" s="51">
        <f t="shared" si="45"/>
        <v>0.15246619853846166</v>
      </c>
      <c r="T63" s="51">
        <f t="shared" si="45"/>
        <v>0.44842309414479931</v>
      </c>
      <c r="U63" s="51">
        <f t="shared" si="45"/>
        <v>0.43761684894486297</v>
      </c>
      <c r="V63" s="51">
        <f t="shared" si="45"/>
        <v>0.26970528227105411</v>
      </c>
      <c r="W63" s="51">
        <f t="shared" si="45"/>
        <v>0.17160429784847062</v>
      </c>
      <c r="X63" s="51">
        <f t="shared" si="45"/>
        <v>0.17502210830298839</v>
      </c>
      <c r="Y63" s="103" t="s">
        <v>101</v>
      </c>
    </row>
    <row r="64" spans="2:27" x14ac:dyDescent="0.35">
      <c r="N64" s="90" t="s">
        <v>103</v>
      </c>
      <c r="O64" s="90"/>
      <c r="P64" s="51">
        <f t="shared" ref="P64:X64" si="46">(C21+C19)/P11</f>
        <v>0.44477067431988104</v>
      </c>
      <c r="Q64" s="51">
        <f t="shared" si="46"/>
        <v>0.26244549396520839</v>
      </c>
      <c r="R64" s="51">
        <f t="shared" si="46"/>
        <v>0.11427239571535952</v>
      </c>
      <c r="S64" s="51">
        <f t="shared" si="46"/>
        <v>0.16942842934018823</v>
      </c>
      <c r="T64" s="51">
        <f t="shared" si="46"/>
        <v>0.57426264113078918</v>
      </c>
      <c r="U64" s="51">
        <f t="shared" si="46"/>
        <v>0.56728309729906445</v>
      </c>
      <c r="V64" s="51">
        <f t="shared" si="46"/>
        <v>0.35451596081203035</v>
      </c>
      <c r="W64" s="51">
        <f t="shared" si="46"/>
        <v>0.21948940050884796</v>
      </c>
      <c r="X64" s="51">
        <f t="shared" si="46"/>
        <v>0.22531477236304737</v>
      </c>
      <c r="Y64" s="103" t="s">
        <v>101</v>
      </c>
    </row>
    <row r="65" spans="3:25" x14ac:dyDescent="0.35">
      <c r="N65" s="90" t="s">
        <v>105</v>
      </c>
      <c r="O65" s="90"/>
      <c r="P65" s="52">
        <f t="shared" ref="P65:X65" si="47">P10/P6</f>
        <v>0</v>
      </c>
      <c r="Q65" s="52">
        <f t="shared" si="47"/>
        <v>0</v>
      </c>
      <c r="R65" s="52">
        <f t="shared" si="47"/>
        <v>0</v>
      </c>
      <c r="S65" s="52">
        <f t="shared" si="47"/>
        <v>0</v>
      </c>
      <c r="T65" s="52">
        <f t="shared" si="47"/>
        <v>0</v>
      </c>
      <c r="U65" s="52">
        <f t="shared" si="47"/>
        <v>0</v>
      </c>
      <c r="V65" s="52">
        <f t="shared" si="47"/>
        <v>0</v>
      </c>
      <c r="W65" s="52">
        <f t="shared" si="47"/>
        <v>0</v>
      </c>
      <c r="X65" s="52">
        <f t="shared" si="47"/>
        <v>0</v>
      </c>
      <c r="Y65" s="55" t="s">
        <v>101</v>
      </c>
    </row>
    <row r="66" spans="3:25" x14ac:dyDescent="0.35">
      <c r="N66" s="90" t="s">
        <v>106</v>
      </c>
      <c r="O66" s="90"/>
      <c r="P66" s="52">
        <f t="shared" ref="P66:X66" si="48">(P10-SUM(P30,P32:P33))/P6</f>
        <v>-0.16798994949839399</v>
      </c>
      <c r="Q66" s="52">
        <f t="shared" si="48"/>
        <v>-0.37019068425386492</v>
      </c>
      <c r="R66" s="52">
        <f t="shared" si="48"/>
        <v>-0.4500046619945024</v>
      </c>
      <c r="S66" s="52">
        <f t="shared" si="48"/>
        <v>-0.4614223475000116</v>
      </c>
      <c r="T66" s="52">
        <f t="shared" si="48"/>
        <v>-0.54189361679749015</v>
      </c>
      <c r="U66" s="52">
        <f t="shared" si="48"/>
        <v>-0.61442091483948613</v>
      </c>
      <c r="V66" s="52">
        <f t="shared" si="48"/>
        <v>-0.49464977389897086</v>
      </c>
      <c r="W66" s="52">
        <f t="shared" si="48"/>
        <v>-0.54091336956641256</v>
      </c>
      <c r="X66" s="52">
        <f t="shared" si="48"/>
        <v>-0.39968078532564411</v>
      </c>
      <c r="Y66" s="55" t="s">
        <v>101</v>
      </c>
    </row>
    <row r="67" spans="3:25" x14ac:dyDescent="0.35">
      <c r="N67" s="90" t="s">
        <v>107</v>
      </c>
      <c r="O67" s="26"/>
      <c r="P67" s="27">
        <f>P59/P56</f>
        <v>2.9756984625557946E-2</v>
      </c>
      <c r="Q67" s="27">
        <f t="shared" ref="Q67:U67" si="49">Q59/Q56</f>
        <v>2.8046120286693677E-2</v>
      </c>
      <c r="R67" s="27">
        <f t="shared" si="49"/>
        <v>2.6779736665922784E-2</v>
      </c>
      <c r="S67" s="27">
        <f t="shared" si="49"/>
        <v>8.4811102544333078E-2</v>
      </c>
      <c r="T67" s="27">
        <f t="shared" si="49"/>
        <v>7.3827980804724982E-2</v>
      </c>
      <c r="U67" s="27">
        <f t="shared" si="49"/>
        <v>3.8935756002595717E-2</v>
      </c>
      <c r="V67" s="27">
        <f>V59/V56</f>
        <v>2.9657589646805069E-2</v>
      </c>
      <c r="W67" s="27">
        <f>W59/W56</f>
        <v>1.4447387430772934E-2</v>
      </c>
      <c r="X67" s="27">
        <f>X59/X56</f>
        <v>1.5936254980079681E-2</v>
      </c>
      <c r="Y67" s="61" t="s">
        <v>101</v>
      </c>
    </row>
    <row r="68" spans="3:25" x14ac:dyDescent="0.35">
      <c r="N68" s="90" t="s">
        <v>108</v>
      </c>
      <c r="O68" s="90"/>
      <c r="P68" s="53">
        <f t="shared" ref="P68:X68" si="50">AVERAGE(O31:P31/C4)*365</f>
        <v>34.883889298780552</v>
      </c>
      <c r="Q68" s="53">
        <f t="shared" si="50"/>
        <v>34.718912506322269</v>
      </c>
      <c r="R68" s="53">
        <f t="shared" si="50"/>
        <v>32.535303803674992</v>
      </c>
      <c r="S68" s="53">
        <f t="shared" si="50"/>
        <v>33.238702099113695</v>
      </c>
      <c r="T68" s="53">
        <f t="shared" si="50"/>
        <v>43.927744247406416</v>
      </c>
      <c r="U68" s="53">
        <f t="shared" si="50"/>
        <v>29.867309490462073</v>
      </c>
      <c r="V68" s="53">
        <f t="shared" si="50"/>
        <v>25.010630759198712</v>
      </c>
      <c r="W68" s="53">
        <f t="shared" si="50"/>
        <v>27.442432676415986</v>
      </c>
      <c r="X68" s="53">
        <f t="shared" si="50"/>
        <v>23.829500692568509</v>
      </c>
      <c r="Y68" s="86" t="s">
        <v>101</v>
      </c>
    </row>
    <row r="69" spans="3:25" x14ac:dyDescent="0.35">
      <c r="N69" s="26" t="s">
        <v>109</v>
      </c>
      <c r="O69" s="26"/>
      <c r="P69" s="53">
        <f t="shared" ref="P69:X69" si="51">(AVERAGE(O40:P40)/C7)*365</f>
        <v>52.80295904104802</v>
      </c>
      <c r="Q69" s="53">
        <f t="shared" si="51"/>
        <v>63.040331533037246</v>
      </c>
      <c r="R69" s="53">
        <f t="shared" si="51"/>
        <v>61.613891978941119</v>
      </c>
      <c r="S69" s="53">
        <f t="shared" si="51"/>
        <v>67.330394739396283</v>
      </c>
      <c r="T69" s="53">
        <f t="shared" si="51"/>
        <v>75.771176892552191</v>
      </c>
      <c r="U69" s="53">
        <f t="shared" si="51"/>
        <v>48.382891740108363</v>
      </c>
      <c r="V69" s="53">
        <f t="shared" si="51"/>
        <v>51.556530002879967</v>
      </c>
      <c r="W69" s="53">
        <f t="shared" si="51"/>
        <v>60.65851585074104</v>
      </c>
      <c r="X69" s="53">
        <f t="shared" si="51"/>
        <v>57.722427118033139</v>
      </c>
      <c r="Y69" s="86" t="s">
        <v>101</v>
      </c>
    </row>
    <row r="70" spans="3:25" x14ac:dyDescent="0.35">
      <c r="N70" s="26" t="s">
        <v>110</v>
      </c>
      <c r="O70" s="26"/>
      <c r="P70" s="53">
        <f t="shared" ref="P70:X70" si="52">(AVERAGE(O28:P28)/C7)*365</f>
        <v>30.466562579221794</v>
      </c>
      <c r="Q70" s="53">
        <f t="shared" si="52"/>
        <v>38.83129643672055</v>
      </c>
      <c r="R70" s="53">
        <f t="shared" si="52"/>
        <v>32.839906274925802</v>
      </c>
      <c r="S70" s="53">
        <f t="shared" si="52"/>
        <v>35.673157915170329</v>
      </c>
      <c r="T70" s="53">
        <f t="shared" si="52"/>
        <v>41.793790648366908</v>
      </c>
      <c r="U70" s="53">
        <f t="shared" si="52"/>
        <v>27.344490458474208</v>
      </c>
      <c r="V70" s="53">
        <f t="shared" si="52"/>
        <v>37.355517886494695</v>
      </c>
      <c r="W70" s="53">
        <f t="shared" si="52"/>
        <v>42.990166145774332</v>
      </c>
      <c r="X70" s="53">
        <f t="shared" si="52"/>
        <v>39.267204787258805</v>
      </c>
      <c r="Y70" s="86" t="s">
        <v>101</v>
      </c>
    </row>
    <row r="71" spans="3:25" ht="14.5" hidden="1" customHeight="1" x14ac:dyDescent="0.35">
      <c r="C71" s="56">
        <f t="shared" ref="C71:H71" si="53">P27-P38</f>
        <v>2770.2700000000004</v>
      </c>
      <c r="D71" s="56">
        <f t="shared" si="53"/>
        <v>3422.4979999999987</v>
      </c>
      <c r="E71" s="56">
        <f t="shared" si="53"/>
        <v>3327.1790000000001</v>
      </c>
      <c r="F71" s="56">
        <f t="shared" si="53"/>
        <v>3463.9049999999997</v>
      </c>
      <c r="G71" s="56">
        <f t="shared" si="53"/>
        <v>7434.5719999999992</v>
      </c>
      <c r="H71" s="56">
        <f t="shared" si="53"/>
        <v>10401.149999999998</v>
      </c>
      <c r="I71" s="56"/>
      <c r="J71" s="56"/>
      <c r="K71" s="56"/>
      <c r="L71" s="56"/>
      <c r="N71" s="26" t="s">
        <v>111</v>
      </c>
      <c r="O71" s="26"/>
      <c r="P71" s="53">
        <f>P68+P70-P69</f>
        <v>12.547492836954326</v>
      </c>
      <c r="Q71" s="53">
        <f>Q68+Q70-Q69</f>
        <v>10.509877410005572</v>
      </c>
      <c r="R71" s="53">
        <f t="shared" ref="R71:U71" si="54">R68+R70-R69</f>
        <v>3.7613180996596682</v>
      </c>
      <c r="S71" s="53">
        <f t="shared" si="54"/>
        <v>1.5814652748877478</v>
      </c>
      <c r="T71" s="53">
        <f t="shared" si="54"/>
        <v>9.9503580032211261</v>
      </c>
      <c r="U71" s="53">
        <f t="shared" si="54"/>
        <v>8.8289082088279187</v>
      </c>
      <c r="V71" s="53">
        <f>V68+V70-V69</f>
        <v>10.80961864281344</v>
      </c>
      <c r="W71" s="53">
        <f>W68+W70-W69</f>
        <v>9.7740829714492747</v>
      </c>
      <c r="X71" s="53">
        <f>X68+X70-X69</f>
        <v>5.3742783617941754</v>
      </c>
      <c r="Y71" s="86"/>
    </row>
    <row r="72" spans="3:25" x14ac:dyDescent="0.35">
      <c r="N72" s="90" t="s">
        <v>112</v>
      </c>
      <c r="O72" s="90"/>
      <c r="P72" s="54">
        <f t="shared" ref="P72:X72" si="55">C4/(AVERAGE(O16:P16))</f>
        <v>9.6483492451898822</v>
      </c>
      <c r="Q72" s="54">
        <f t="shared" si="55"/>
        <v>9.2990295979660296</v>
      </c>
      <c r="R72" s="54">
        <f t="shared" si="55"/>
        <v>9.6443381442701259</v>
      </c>
      <c r="S72" s="54">
        <f t="shared" si="55"/>
        <v>8.1114606208967146</v>
      </c>
      <c r="T72" s="54">
        <f t="shared" si="55"/>
        <v>9.6436536907236849</v>
      </c>
      <c r="U72" s="54">
        <f t="shared" si="55"/>
        <v>16.208301111356253</v>
      </c>
      <c r="V72" s="54">
        <f t="shared" si="55"/>
        <v>12.998384545526511</v>
      </c>
      <c r="W72" s="54">
        <f t="shared" si="55"/>
        <v>8.9879291120840783</v>
      </c>
      <c r="X72" s="54">
        <f t="shared" si="55"/>
        <v>8.9358681846459955</v>
      </c>
      <c r="Y72" s="104" t="s">
        <v>101</v>
      </c>
    </row>
    <row r="73" spans="3:25" x14ac:dyDescent="0.35">
      <c r="N73" s="90" t="s">
        <v>113</v>
      </c>
      <c r="O73" s="90"/>
      <c r="P73" s="55" t="s">
        <v>101</v>
      </c>
      <c r="Q73" s="55" t="s">
        <v>101</v>
      </c>
      <c r="R73" s="55" t="s">
        <v>101</v>
      </c>
      <c r="S73" s="55" t="s">
        <v>101</v>
      </c>
      <c r="T73" s="55" t="s">
        <v>101</v>
      </c>
      <c r="U73" s="55" t="s">
        <v>101</v>
      </c>
      <c r="V73" s="61" t="s">
        <v>101</v>
      </c>
      <c r="W73" s="61" t="s">
        <v>101</v>
      </c>
      <c r="X73" s="86" t="s">
        <v>101</v>
      </c>
      <c r="Y73" s="86" t="s">
        <v>101</v>
      </c>
    </row>
    <row r="74" spans="3:25" x14ac:dyDescent="0.35">
      <c r="N74" s="93" t="s">
        <v>114</v>
      </c>
      <c r="O74" s="93"/>
      <c r="P74" s="94">
        <f t="shared" ref="P74:X74" si="56">(AVERAGE(O46:P46)/C4)*365</f>
        <v>31.438282907331011</v>
      </c>
      <c r="Q74" s="94">
        <f t="shared" si="56"/>
        <v>36.409153026149198</v>
      </c>
      <c r="R74" s="94">
        <f t="shared" si="56"/>
        <v>38.568906580424731</v>
      </c>
      <c r="S74" s="94">
        <f t="shared" si="56"/>
        <v>45.494176551668446</v>
      </c>
      <c r="T74" s="94">
        <f t="shared" si="56"/>
        <v>62.444729907835431</v>
      </c>
      <c r="U74" s="94">
        <f t="shared" si="56"/>
        <v>64.682579818526577</v>
      </c>
      <c r="V74" s="94">
        <f t="shared" si="56"/>
        <v>76.848361431892357</v>
      </c>
      <c r="W74" s="94">
        <f t="shared" si="56"/>
        <v>79.563078697975442</v>
      </c>
      <c r="X74" s="94">
        <f t="shared" si="56"/>
        <v>62.54522294244596</v>
      </c>
      <c r="Y74" s="105" t="s">
        <v>101</v>
      </c>
    </row>
  </sheetData>
  <mergeCells count="3">
    <mergeCell ref="N2:W2"/>
    <mergeCell ref="B2:K2"/>
    <mergeCell ref="H1:AK1"/>
  </mergeCells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2024-05-14T11:12:31Z</dcterms:created>
  <dcterms:modified xsi:type="dcterms:W3CDTF">2026-01-27T10:53:52Z</dcterms:modified>
</cp:coreProperties>
</file>