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9735" tabRatio="769"/>
  </bookViews>
  <sheets>
    <sheet name="Summary Sheet" sheetId="3" r:id="rId1"/>
  </sheets>
  <definedNames>
    <definedName name="_xlnm.Print_Area" localSheetId="0">'Summary Sheet'!$A$1:$I$76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3" l="1"/>
  <c r="M53" i="3"/>
  <c r="M45" i="3"/>
  <c r="F23" i="3"/>
  <c r="F16" i="3"/>
  <c r="F13" i="3"/>
  <c r="M49" i="3" l="1"/>
  <c r="L59" i="3"/>
  <c r="M59" i="3"/>
  <c r="M62" i="3"/>
  <c r="F56" i="3"/>
  <c r="F55" i="3"/>
  <c r="F54" i="3"/>
  <c r="M46" i="3"/>
  <c r="L45" i="3"/>
  <c r="E57" i="3"/>
  <c r="E56" i="3"/>
  <c r="D55" i="3"/>
  <c r="E55" i="3"/>
  <c r="F49" i="3"/>
  <c r="E49" i="3"/>
  <c r="F47" i="3"/>
  <c r="E47" i="3"/>
  <c r="F39" i="3"/>
  <c r="F44" i="3"/>
  <c r="E44" i="3"/>
  <c r="F43" i="3"/>
  <c r="E43" i="3"/>
  <c r="M41" i="3"/>
  <c r="M39" i="3"/>
  <c r="M40" i="3"/>
  <c r="M11" i="3" s="1"/>
  <c r="L39" i="3"/>
  <c r="M34" i="3"/>
  <c r="M28" i="3"/>
  <c r="L34" i="3"/>
  <c r="L28" i="3"/>
  <c r="M21" i="3"/>
  <c r="M13" i="3"/>
  <c r="L21" i="3"/>
  <c r="K11" i="3"/>
  <c r="I10" i="3" l="1"/>
  <c r="K10" i="3"/>
  <c r="M10" i="3"/>
  <c r="L10" i="3"/>
  <c r="M9" i="3"/>
  <c r="M6" i="3"/>
  <c r="E26" i="3"/>
  <c r="E25" i="3"/>
  <c r="F27" i="3"/>
  <c r="F24" i="3"/>
  <c r="F57" i="3" l="1"/>
  <c r="F7" i="3"/>
  <c r="E5" i="3"/>
  <c r="F21" i="3" l="1"/>
  <c r="E39" i="3"/>
  <c r="E54" i="3"/>
  <c r="C43" i="3"/>
  <c r="D43" i="3"/>
  <c r="D44" i="3" s="1"/>
  <c r="L58" i="3"/>
  <c r="L57" i="3"/>
  <c r="L56" i="3"/>
  <c r="L55" i="3"/>
  <c r="I45" i="3"/>
  <c r="I48" i="3" s="1"/>
  <c r="B54" i="3"/>
  <c r="D54" i="3"/>
  <c r="C54" i="3"/>
  <c r="B56" i="3"/>
  <c r="C47" i="3"/>
  <c r="D47" i="3"/>
  <c r="B47" i="3"/>
  <c r="B43" i="3"/>
  <c r="I28" i="3"/>
  <c r="J28" i="3"/>
  <c r="I34" i="3" l="1"/>
  <c r="K28" i="3"/>
  <c r="I13" i="3"/>
  <c r="J9" i="3"/>
  <c r="K9" i="3"/>
  <c r="L9" i="3"/>
  <c r="I9" i="3"/>
  <c r="B55" i="3" s="1"/>
  <c r="B57" i="3" s="1"/>
  <c r="E34" i="3"/>
  <c r="E33" i="3"/>
  <c r="D33" i="3"/>
  <c r="C33" i="3"/>
  <c r="C5" i="3"/>
  <c r="L48" i="3"/>
  <c r="K45" i="3"/>
  <c r="L13" i="3"/>
  <c r="L6" i="3"/>
  <c r="K6" i="3"/>
  <c r="C56" i="3"/>
  <c r="E7" i="3"/>
  <c r="E13" i="3" s="1"/>
  <c r="E6" i="3"/>
  <c r="F29" i="3" l="1"/>
  <c r="L50" i="3"/>
  <c r="L61" i="3"/>
  <c r="L53" i="3"/>
  <c r="L54" i="3"/>
  <c r="L46" i="3"/>
  <c r="L49" i="3" s="1"/>
  <c r="L62" i="3"/>
  <c r="E16" i="3"/>
  <c r="E21" i="3"/>
  <c r="K56" i="3"/>
  <c r="K55" i="3"/>
  <c r="K48" i="3"/>
  <c r="D7" i="3"/>
  <c r="D13" i="3" s="1"/>
  <c r="E14" i="3" l="1"/>
  <c r="E24" i="3"/>
  <c r="L51" i="3" s="1"/>
  <c r="E23" i="3"/>
  <c r="D21" i="3"/>
  <c r="D16" i="3"/>
  <c r="L40" i="3"/>
  <c r="L11" i="3" s="1"/>
  <c r="K21" i="3"/>
  <c r="D56" i="3"/>
  <c r="D49" i="3"/>
  <c r="E27" i="3" l="1"/>
  <c r="L52" i="3"/>
  <c r="L41" i="3"/>
  <c r="D23" i="3"/>
  <c r="D24" i="3"/>
  <c r="D29" i="3" s="1"/>
  <c r="L60" i="3"/>
  <c r="D5" i="3"/>
  <c r="E29" i="3" l="1"/>
  <c r="D27" i="3"/>
  <c r="J55" i="3" l="1"/>
  <c r="K13" i="3"/>
  <c r="D57" i="3"/>
  <c r="K50" i="3" s="1"/>
  <c r="C55" i="3"/>
  <c r="K57" i="3" l="1"/>
  <c r="K58" i="3"/>
  <c r="K61" i="3"/>
  <c r="E30" i="3" l="1"/>
  <c r="K59" i="3"/>
  <c r="K62" i="3"/>
  <c r="K34" i="3"/>
  <c r="C7" i="3"/>
  <c r="C13" i="3" s="1"/>
  <c r="B7" i="3"/>
  <c r="B13" i="3" s="1"/>
  <c r="E15" i="3" s="1"/>
  <c r="C57" i="3"/>
  <c r="B44" i="3"/>
  <c r="J34" i="3"/>
  <c r="J21" i="3"/>
  <c r="I21" i="3"/>
  <c r="I40" i="3" s="1"/>
  <c r="J13" i="3"/>
  <c r="J6" i="3"/>
  <c r="I6" i="3"/>
  <c r="J57" i="3"/>
  <c r="I55" i="3"/>
  <c r="J45" i="3"/>
  <c r="J58" i="3"/>
  <c r="J56" i="3"/>
  <c r="J10" i="3" l="1"/>
  <c r="J41" i="3"/>
  <c r="I46" i="3"/>
  <c r="I41" i="3"/>
  <c r="C14" i="3"/>
  <c r="D14" i="3"/>
  <c r="B21" i="3"/>
  <c r="B23" i="3" s="1"/>
  <c r="K46" i="3"/>
  <c r="K49" i="3" s="1"/>
  <c r="K54" i="3"/>
  <c r="K53" i="3"/>
  <c r="K51" i="3"/>
  <c r="K39" i="3"/>
  <c r="K60" i="3" s="1"/>
  <c r="K40" i="3"/>
  <c r="J39" i="3"/>
  <c r="I39" i="3"/>
  <c r="J46" i="3"/>
  <c r="K41" i="3"/>
  <c r="I11" i="3"/>
  <c r="J40" i="3"/>
  <c r="J11" i="3" s="1"/>
  <c r="J61" i="3"/>
  <c r="C16" i="3"/>
  <c r="C21" i="3"/>
  <c r="B16" i="3"/>
  <c r="J59" i="3"/>
  <c r="J62" i="3"/>
  <c r="I62" i="3"/>
  <c r="J52" i="3"/>
  <c r="J48" i="3"/>
  <c r="C49" i="3"/>
  <c r="B49" i="3"/>
  <c r="B24" i="3" l="1"/>
  <c r="B29" i="3"/>
  <c r="E31" i="3" s="1"/>
  <c r="B27" i="3"/>
  <c r="K52" i="3"/>
  <c r="C23" i="3"/>
  <c r="C24" i="3"/>
  <c r="J60" i="3"/>
  <c r="J50" i="3"/>
  <c r="J54" i="3"/>
  <c r="J53" i="3"/>
  <c r="J49" i="3"/>
  <c r="C25" i="3" l="1"/>
  <c r="D25" i="3"/>
  <c r="C27" i="3"/>
  <c r="J51" i="3"/>
  <c r="C29" i="3"/>
  <c r="C30" i="3" l="1"/>
  <c r="D30" i="3"/>
  <c r="I51" i="3" l="1"/>
  <c r="I52" i="3"/>
  <c r="I54" i="3" l="1"/>
  <c r="I61" i="3"/>
  <c r="I53" i="3"/>
  <c r="I50" i="3"/>
  <c r="I49" i="3"/>
  <c r="I60" i="3" l="1"/>
  <c r="C44" i="3" l="1"/>
</calcChain>
</file>

<file path=xl/sharedStrings.xml><?xml version="1.0" encoding="utf-8"?>
<sst xmlns="http://schemas.openxmlformats.org/spreadsheetml/2006/main" count="153" uniqueCount="108">
  <si>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</si>
  <si>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</si>
  <si>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</si>
  <si>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</si>
  <si>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</si>
  <si>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</si>
  <si>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</si>
  <si>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</si>
  <si>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</si>
  <si>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</si>
  <si>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</si>
  <si>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</si>
  <si>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</si>
  <si>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</si>
  <si>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</si>
  <si>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</si>
  <si>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</si>
  <si>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</si>
  <si>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</si>
  <si>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</si>
  <si>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</si>
  <si>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</si>
  <si>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</si>
  <si>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Long Term Debt</t>
  </si>
  <si>
    <t>Short Term Debt</t>
  </si>
  <si>
    <t>Loans</t>
  </si>
  <si>
    <t>Capital Employed</t>
  </si>
  <si>
    <t>Inventories</t>
  </si>
  <si>
    <t>Cash &amp; Bank Balances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</si>
  <si>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</si>
  <si>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</si>
  <si>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</si>
  <si>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</si>
  <si>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</si>
  <si>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</si>
  <si>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</si>
  <si>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</si>
  <si>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</si>
  <si>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</si>
  <si>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</si>
  <si>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</si>
  <si>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</si>
  <si>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</si>
  <si>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</si>
  <si>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</si>
  <si>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</si>
  <si>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Expenses</t>
  </si>
  <si>
    <t>Other Comprehensive Income</t>
  </si>
  <si>
    <t>Cash and Cash Equivalents at End of the year</t>
  </si>
  <si>
    <t>No. of Shares</t>
  </si>
  <si>
    <t>Cash</t>
  </si>
  <si>
    <t>EV</t>
  </si>
  <si>
    <t>Total Debt</t>
  </si>
  <si>
    <t>Cash Flow from Investing Activities</t>
  </si>
  <si>
    <t>PAT margin (%)</t>
  </si>
  <si>
    <t>Interest Cost</t>
  </si>
  <si>
    <t>TOTAL ASSETS</t>
  </si>
  <si>
    <t>TOTAL LIABILITIES</t>
  </si>
  <si>
    <t>Income Statement</t>
  </si>
  <si>
    <t>Balance Sheet</t>
  </si>
  <si>
    <t>Changes in Inventory</t>
  </si>
  <si>
    <t>Finance Cost</t>
  </si>
  <si>
    <t>Capital Work-in-Progress</t>
  </si>
  <si>
    <t>Other Non-current Assets</t>
  </si>
  <si>
    <t>Cash Conversion Cycle</t>
  </si>
  <si>
    <t>Interest Coverage Ratio</t>
  </si>
  <si>
    <t>Working Capital Cycle</t>
  </si>
  <si>
    <t>Other Financial Liabilities</t>
  </si>
  <si>
    <t>CMP</t>
  </si>
  <si>
    <t>Total Revenue</t>
  </si>
  <si>
    <t>Account Receivable</t>
  </si>
  <si>
    <t>Cost of material consumed</t>
  </si>
  <si>
    <t>Purchase of stock-in-trade</t>
  </si>
  <si>
    <t>NON-CURRENT ASSETS</t>
  </si>
  <si>
    <t>CURRENT ASSETS</t>
  </si>
  <si>
    <t xml:space="preserve">CURRENT LIABILITIES </t>
  </si>
  <si>
    <t xml:space="preserve">NON CURRENT LIABILITIES </t>
  </si>
  <si>
    <t>Right of Use Assets</t>
  </si>
  <si>
    <t xml:space="preserve">Property, Plant and Equipment </t>
  </si>
  <si>
    <t>FY22</t>
  </si>
  <si>
    <t>FY23</t>
  </si>
  <si>
    <t>Intangible assets</t>
  </si>
  <si>
    <t xml:space="preserve">Intangible assets under development </t>
  </si>
  <si>
    <t xml:space="preserve">Financial assets </t>
  </si>
  <si>
    <t xml:space="preserve">Deferred tax assets (net) </t>
  </si>
  <si>
    <t xml:space="preserve">Bank balances other than cash and cash equivalents </t>
  </si>
  <si>
    <t xml:space="preserve">Other current assets </t>
  </si>
  <si>
    <t xml:space="preserve"> Lease liability </t>
  </si>
  <si>
    <t xml:space="preserve">Other financial liabilities </t>
  </si>
  <si>
    <t xml:space="preserve">Other non-current liabilities </t>
  </si>
  <si>
    <t xml:space="preserve">Provisions </t>
  </si>
  <si>
    <t xml:space="preserve">Trade and other payables </t>
  </si>
  <si>
    <t xml:space="preserve">Current tax liabilities (net) </t>
  </si>
  <si>
    <t xml:space="preserve">Other current liabilities </t>
  </si>
  <si>
    <t>Equity Share Capital</t>
  </si>
  <si>
    <t>Other equity</t>
  </si>
  <si>
    <t>Total Equity</t>
  </si>
  <si>
    <t xml:space="preserve">PAT </t>
  </si>
  <si>
    <t>Market Cap (in MN)</t>
  </si>
  <si>
    <t>CAGR (%) - 3 Years</t>
  </si>
  <si>
    <t>Total Comprehensive Income</t>
  </si>
  <si>
    <t>NET CURRENT ASSETS</t>
  </si>
  <si>
    <t>FY24</t>
  </si>
  <si>
    <t>FY25</t>
  </si>
  <si>
    <t>Thomas Scott India Ltd</t>
  </si>
  <si>
    <t>NA</t>
  </si>
  <si>
    <t>TTM</t>
  </si>
  <si>
    <t>H1-FY26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</si>
</sst>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u/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MyFirstFont"/>
    </font>
    <font>
      <sz val="11"/>
      <color rgb="FF4A4A4A"/>
      <name val="Poppins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E3E3E3"/>
      </right>
      <top style="medium">
        <color rgb="FFE3E3E3"/>
      </top>
      <bottom style="medium">
        <color rgb="FFE3E3E3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4" fillId="2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4" fillId="3" borderId="1" xfId="0" applyFont="1" applyFill="1" applyBorder="1"/>
    <xf numFmtId="10" fontId="3" fillId="0" borderId="0" xfId="1" applyNumberFormat="1" applyFont="1" applyFill="1" applyBorder="1"/>
    <xf numFmtId="0" fontId="3" fillId="0" borderId="1" xfId="0" applyFont="1" applyBorder="1"/>
    <xf numFmtId="168" fontId="3" fillId="0" borderId="1" xfId="2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right"/>
    </xf>
    <xf numFmtId="165" fontId="4" fillId="0" borderId="1" xfId="0" applyNumberFormat="1" applyFont="1" applyBorder="1"/>
    <xf numFmtId="166" fontId="4" fillId="0" borderId="1" xfId="0" applyNumberFormat="1" applyFont="1" applyBorder="1"/>
    <xf numFmtId="10" fontId="4" fillId="0" borderId="1" xfId="0" applyNumberFormat="1" applyFont="1" applyBorder="1"/>
    <xf numFmtId="10" fontId="3" fillId="0" borderId="0" xfId="0" applyNumberFormat="1" applyFont="1"/>
    <xf numFmtId="165" fontId="6" fillId="0" borderId="1" xfId="0" applyNumberFormat="1" applyFont="1" applyBorder="1"/>
    <xf numFmtId="164" fontId="4" fillId="0" borderId="1" xfId="2" applyFont="1" applyFill="1" applyBorder="1"/>
    <xf numFmtId="168" fontId="4" fillId="0" borderId="1" xfId="2" applyNumberFormat="1" applyFont="1" applyFill="1" applyBorder="1"/>
    <xf numFmtId="168" fontId="4" fillId="3" borderId="1" xfId="2" applyNumberFormat="1" applyFont="1" applyFill="1" applyBorder="1" applyAlignment="1">
      <alignment horizontal="right"/>
    </xf>
    <xf numFmtId="168" fontId="3" fillId="0" borderId="1" xfId="2" applyNumberFormat="1" applyFont="1" applyBorder="1"/>
    <xf numFmtId="168" fontId="3" fillId="0" borderId="0" xfId="2" applyNumberFormat="1" applyFont="1"/>
    <xf numFmtId="168" fontId="3" fillId="0" borderId="0" xfId="2" applyNumberFormat="1" applyFont="1" applyFill="1"/>
    <xf numFmtId="0" fontId="3" fillId="0" borderId="0" xfId="1" applyNumberFormat="1" applyFont="1"/>
    <xf numFmtId="0" fontId="12" fillId="0" borderId="0" xfId="0" applyFont="1"/>
    <xf numFmtId="0" fontId="12" fillId="0" borderId="0" xfId="0" applyFont="1" applyAlignment="1">
      <alignment vertical="center"/>
    </xf>
    <xf numFmtId="3" fontId="12" fillId="0" borderId="0" xfId="0" applyNumberFormat="1" applyFont="1"/>
    <xf numFmtId="3" fontId="12" fillId="4" borderId="0" xfId="0" applyNumberFormat="1" applyFont="1" applyFill="1" applyAlignment="1">
      <alignment horizontal="right" vertical="center" wrapText="1" indent="1"/>
    </xf>
    <xf numFmtId="2" fontId="4" fillId="0" borderId="0" xfId="0" applyNumberFormat="1" applyFont="1"/>
    <xf numFmtId="2" fontId="3" fillId="0" borderId="0" xfId="0" applyNumberFormat="1" applyFont="1"/>
    <xf numFmtId="2" fontId="13" fillId="5" borderId="5" xfId="0" applyNumberFormat="1" applyFont="1" applyFill="1" applyBorder="1" applyAlignment="1">
      <alignment horizontal="right" vertical="top" wrapText="1"/>
    </xf>
    <xf numFmtId="168" fontId="3" fillId="0" borderId="0" xfId="0" applyNumberFormat="1" applyFont="1"/>
    <xf numFmtId="168" fontId="4" fillId="0" borderId="0" xfId="0" applyNumberFormat="1" applyFont="1"/>
    <xf numFmtId="0" fontId="4" fillId="0" borderId="1" xfId="0" applyFont="1" applyFill="1" applyBorder="1"/>
    <xf numFmtId="0" fontId="3" fillId="0" borderId="1" xfId="0" applyFont="1" applyFill="1" applyBorder="1"/>
    <xf numFmtId="166" fontId="3" fillId="0" borderId="1" xfId="0" applyNumberFormat="1" applyFont="1" applyFill="1" applyBorder="1"/>
    <xf numFmtId="10" fontId="4" fillId="0" borderId="1" xfId="0" applyNumberFormat="1" applyFont="1" applyFill="1" applyBorder="1"/>
    <xf numFmtId="10" fontId="3" fillId="0" borderId="1" xfId="0" applyNumberFormat="1" applyFont="1" applyFill="1" applyBorder="1"/>
    <xf numFmtId="10" fontId="4" fillId="0" borderId="1" xfId="1" applyNumberFormat="1" applyFont="1" applyFill="1" applyBorder="1"/>
    <xf numFmtId="166" fontId="3" fillId="0" borderId="1" xfId="1" applyNumberFormat="1" applyFont="1" applyFill="1" applyBorder="1"/>
    <xf numFmtId="164" fontId="3" fillId="0" borderId="1" xfId="2" applyFont="1" applyFill="1" applyBorder="1"/>
    <xf numFmtId="164" fontId="3" fillId="0" borderId="1" xfId="2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10" fontId="3" fillId="0" borderId="1" xfId="1" applyNumberFormat="1" applyFont="1" applyFill="1" applyBorder="1"/>
    <xf numFmtId="10" fontId="3" fillId="0" borderId="1" xfId="2" applyNumberFormat="1" applyFont="1" applyFill="1" applyBorder="1"/>
    <xf numFmtId="167" fontId="3" fillId="0" borderId="1" xfId="2" applyNumberFormat="1" applyFont="1" applyFill="1" applyBorder="1"/>
    <xf numFmtId="164" fontId="3" fillId="0" borderId="1" xfId="0" applyNumberFormat="1" applyFont="1" applyFill="1" applyBorder="1" applyAlignment="1">
      <alignment wrapText="1"/>
    </xf>
    <xf numFmtId="0" fontId="9" fillId="0" borderId="1" xfId="0" applyFont="1" applyFill="1" applyBorder="1"/>
    <xf numFmtId="0" fontId="4" fillId="0" borderId="1" xfId="2" applyNumberFormat="1" applyFont="1" applyFill="1" applyBorder="1"/>
    <xf numFmtId="168" fontId="11" fillId="0" borderId="1" xfId="2" applyNumberFormat="1" applyFont="1" applyFill="1" applyBorder="1"/>
    <xf numFmtId="0" fontId="3" fillId="0" borderId="0" xfId="0" applyFont="1" applyFill="1"/>
    <xf numFmtId="164" fontId="4" fillId="0" borderId="1" xfId="2" applyFont="1" applyFill="1" applyBorder="1" applyAlignment="1">
      <alignment horizontal="right"/>
    </xf>
    <xf numFmtId="168" fontId="3" fillId="0" borderId="1" xfId="0" applyNumberFormat="1" applyFont="1" applyBorder="1"/>
    <xf numFmtId="168" fontId="4" fillId="0" borderId="1" xfId="0" applyNumberFormat="1" applyFont="1" applyBorder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10" fontId="3" fillId="0" borderId="1" xfId="1" applyNumberFormat="1" applyFont="1" applyFill="1" applyBorder="1" applyAlignment="1">
      <alignment horizontal="right"/>
    </xf>
    <xf numFmtId="10" fontId="3" fillId="0" borderId="1" xfId="2" applyNumberFormat="1" applyFont="1" applyFill="1" applyBorder="1" applyAlignment="1">
      <alignment horizontal="right"/>
    </xf>
  </cellXfs>
  <cellStyles count="12">
    <cellStyle name="Comma" xfId="2" builtinId="3"/>
    <cellStyle name="Comma 2" xfId="5"/>
    <cellStyle name="Comma 2 2" xfId="6"/>
    <cellStyle name="Comma 2 2 2" xfId="10"/>
    <cellStyle name="Comma 2 3" xfId="9"/>
    <cellStyle name="Comma 3" xfId="7"/>
    <cellStyle name="Comma 3 2" xfId="11"/>
    <cellStyle name="Comma 4" xfId="8"/>
    <cellStyle name="Comma 5" xfId="4"/>
    <cellStyle name="Normal" xfId="0" builtinId="0"/>
    <cellStyle name="Percent" xfId="1" builtinId="5"/>
    <cellStyle name="Style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80"/>
  <sheetViews>
    <sheetView tabSelected="1" topLeftCell="C40" zoomScaleNormal="100" zoomScaleSheetLayoutView="91" workbookViewId="0">
      <selection activeCell="O53" sqref="O53"/>
    </sheetView>
  </sheetViews>
  <sheetFormatPr defaultColWidth="9.140625" defaultRowHeight="15" customHeight="1"/>
  <cols>
    <col min="1" max="1" width="49" style="2" bestFit="1" customWidth="1"/>
    <col min="2" max="3" width="12.140625" style="2" bestFit="1" customWidth="1"/>
    <col min="4" max="5" width="12" style="2" customWidth="1"/>
    <col min="6" max="6" width="11.42578125" style="30" bestFit="1" customWidth="1"/>
    <col min="7" max="7" width="12.5703125" style="2" customWidth="1"/>
    <col min="8" max="8" width="55.85546875" style="2" bestFit="1" customWidth="1"/>
    <col min="9" max="9" width="9.140625" style="2" customWidth="1"/>
    <col min="10" max="10" width="10.85546875" style="2" bestFit="1" customWidth="1"/>
    <col min="11" max="13" width="10.85546875" style="2" customWidth="1"/>
    <col min="14" max="16384" width="9.140625" style="2"/>
  </cols>
  <sheetData>
    <row r="1" spans="1:13" ht="15" customHeight="1">
      <c r="A1" s="57" t="s">
        <v>104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</row>
    <row r="2" spans="1:13" ht="15" customHeight="1">
      <c r="A2" s="55" t="s">
        <v>58</v>
      </c>
      <c r="B2" s="56"/>
      <c r="C2" s="3"/>
      <c r="D2" s="3" t="s">
        <v>22</v>
      </c>
      <c r="E2" s="3"/>
      <c r="F2" s="29"/>
      <c r="G2" s="4"/>
      <c r="H2" s="58" t="s">
        <v>59</v>
      </c>
      <c r="I2" s="59"/>
      <c r="J2" s="5"/>
      <c r="K2" s="5"/>
    </row>
    <row r="3" spans="1:13" ht="15" customHeight="1">
      <c r="A3" s="6" t="s">
        <v>0</v>
      </c>
      <c r="B3" s="12" t="s">
        <v>79</v>
      </c>
      <c r="C3" s="12" t="s">
        <v>80</v>
      </c>
      <c r="D3" s="12" t="s">
        <v>102</v>
      </c>
      <c r="E3" s="12" t="s">
        <v>103</v>
      </c>
      <c r="F3" s="12" t="s">
        <v>107</v>
      </c>
      <c r="G3" s="4"/>
      <c r="H3" s="6" t="s">
        <v>0</v>
      </c>
      <c r="I3" s="20" t="s">
        <v>79</v>
      </c>
      <c r="J3" s="20" t="s">
        <v>80</v>
      </c>
      <c r="K3" s="20" t="s">
        <v>102</v>
      </c>
      <c r="L3" s="12" t="s">
        <v>103</v>
      </c>
      <c r="M3" s="12" t="s">
        <v>107</v>
      </c>
    </row>
    <row r="4" spans="1:13" ht="15" customHeight="1">
      <c r="A4" s="34" t="s">
        <v>69</v>
      </c>
      <c r="B4" s="19">
        <v>323.21899999999999</v>
      </c>
      <c r="C4" s="19">
        <v>682.89499999999998</v>
      </c>
      <c r="D4" s="19">
        <v>910.93099999999993</v>
      </c>
      <c r="E4" s="19">
        <v>1610.3219999999999</v>
      </c>
      <c r="F4" s="19">
        <v>1108.22</v>
      </c>
      <c r="G4" s="7"/>
      <c r="H4" s="8" t="s">
        <v>94</v>
      </c>
      <c r="I4" s="21">
        <v>55.144000000000005</v>
      </c>
      <c r="J4" s="21">
        <v>63.566999999999993</v>
      </c>
      <c r="K4" s="21">
        <v>97.951999999999998</v>
      </c>
      <c r="L4" s="21">
        <v>126.62899999999999</v>
      </c>
      <c r="M4" s="53">
        <v>146.70400000000001</v>
      </c>
    </row>
    <row r="5" spans="1:13" ht="15" customHeight="1">
      <c r="A5" s="35" t="s">
        <v>1</v>
      </c>
      <c r="B5" s="36"/>
      <c r="C5" s="36">
        <f>(C4/B4-1)</f>
        <v>1.1127934929567878</v>
      </c>
      <c r="D5" s="36">
        <f t="shared" ref="D5" si="0">(D4/C4-1)</f>
        <v>0.33392542045263163</v>
      </c>
      <c r="E5" s="36">
        <f>(E4/D4-1)</f>
        <v>0.76777604450831083</v>
      </c>
      <c r="F5" s="36"/>
      <c r="H5" s="8" t="s">
        <v>95</v>
      </c>
      <c r="I5" s="21">
        <v>47.382999999999996</v>
      </c>
      <c r="J5" s="21">
        <v>79.859000000000009</v>
      </c>
      <c r="K5" s="21">
        <v>408.98899999999998</v>
      </c>
      <c r="L5" s="21">
        <v>932.8889999999999</v>
      </c>
      <c r="M5" s="53">
        <v>1115.078</v>
      </c>
    </row>
    <row r="6" spans="1:13" ht="15" customHeight="1">
      <c r="A6" s="35" t="s">
        <v>99</v>
      </c>
      <c r="B6" s="36"/>
      <c r="C6" s="36"/>
      <c r="D6" s="36"/>
      <c r="E6" s="36">
        <f>((E4/B4)^(1/3))-1</f>
        <v>0.70793739715962856</v>
      </c>
      <c r="F6" s="36"/>
      <c r="H6" s="34" t="s">
        <v>96</v>
      </c>
      <c r="I6" s="19">
        <f t="shared" ref="I6:J6" si="1">SUM(I4:I5)</f>
        <v>102.527</v>
      </c>
      <c r="J6" s="19">
        <f t="shared" si="1"/>
        <v>143.42599999999999</v>
      </c>
      <c r="K6" s="19">
        <f>SUM(K4:K5)</f>
        <v>506.94099999999997</v>
      </c>
      <c r="L6" s="19">
        <f>SUM(L4:L5)</f>
        <v>1059.5179999999998</v>
      </c>
      <c r="M6" s="19">
        <f>SUM(M4:M5)</f>
        <v>1261.7819999999999</v>
      </c>
    </row>
    <row r="7" spans="1:13" ht="15" customHeight="1">
      <c r="A7" s="34" t="s">
        <v>3</v>
      </c>
      <c r="B7" s="19">
        <f>SUM(B8:B12)</f>
        <v>310.46100000000001</v>
      </c>
      <c r="C7" s="19">
        <f>SUM(C8:C12)</f>
        <v>581.34699999999998</v>
      </c>
      <c r="D7" s="19">
        <f>SUM(D8:D12)</f>
        <v>783.48599999999999</v>
      </c>
      <c r="E7" s="19">
        <f>SUM(E8:E12)</f>
        <v>1416.4970000000001</v>
      </c>
      <c r="F7" s="19">
        <f>SUM(F8:F12)</f>
        <v>962.5100000000001</v>
      </c>
      <c r="H7" s="35" t="s">
        <v>23</v>
      </c>
      <c r="I7" s="9">
        <v>0</v>
      </c>
      <c r="J7" s="9">
        <v>4.8450000000000006</v>
      </c>
      <c r="K7" s="9">
        <v>12.298</v>
      </c>
      <c r="L7" s="9">
        <v>24.246000000000002</v>
      </c>
      <c r="M7" s="53">
        <v>19.417000000000002</v>
      </c>
    </row>
    <row r="8" spans="1:13" ht="15" customHeight="1">
      <c r="A8" s="35" t="s">
        <v>71</v>
      </c>
      <c r="B8" s="9">
        <v>187.035</v>
      </c>
      <c r="C8" s="9">
        <v>311.85599999999999</v>
      </c>
      <c r="D8" s="9">
        <v>408.55</v>
      </c>
      <c r="E8" s="9">
        <v>758.41399999999999</v>
      </c>
      <c r="F8" s="9">
        <v>459.6</v>
      </c>
      <c r="H8" s="35" t="s">
        <v>24</v>
      </c>
      <c r="I8" s="9">
        <v>0.312</v>
      </c>
      <c r="J8" s="9">
        <v>41.06</v>
      </c>
      <c r="K8" s="9">
        <v>46.667999999999999</v>
      </c>
      <c r="L8" s="9">
        <v>110.535</v>
      </c>
      <c r="M8" s="53">
        <v>247.124</v>
      </c>
    </row>
    <row r="9" spans="1:13" ht="15" customHeight="1">
      <c r="A9" s="35" t="s">
        <v>72</v>
      </c>
      <c r="B9" s="9">
        <v>41.266000000000005</v>
      </c>
      <c r="C9" s="9">
        <v>86.617999999999995</v>
      </c>
      <c r="D9" s="9">
        <v>207.602</v>
      </c>
      <c r="E9" s="9">
        <v>411.03300000000002</v>
      </c>
      <c r="F9" s="9">
        <v>234.88</v>
      </c>
      <c r="H9" s="34" t="s">
        <v>25</v>
      </c>
      <c r="I9" s="19">
        <f>(I7+I8)</f>
        <v>0.312</v>
      </c>
      <c r="J9" s="19">
        <f t="shared" ref="J9:M9" si="2">(J7+J8)</f>
        <v>45.905000000000001</v>
      </c>
      <c r="K9" s="19">
        <f t="shared" si="2"/>
        <v>58.966000000000001</v>
      </c>
      <c r="L9" s="19">
        <f t="shared" si="2"/>
        <v>134.78100000000001</v>
      </c>
      <c r="M9" s="19">
        <f t="shared" si="2"/>
        <v>266.541</v>
      </c>
    </row>
    <row r="10" spans="1:13" ht="15" customHeight="1">
      <c r="A10" s="35" t="s">
        <v>60</v>
      </c>
      <c r="B10" s="9">
        <v>-40.564999999999998</v>
      </c>
      <c r="C10" s="9">
        <v>-33.123000000000005</v>
      </c>
      <c r="D10" s="9">
        <v>5.2700000000000005</v>
      </c>
      <c r="E10" s="9">
        <v>-207.61599999999999</v>
      </c>
      <c r="F10" s="9">
        <v>-127.66</v>
      </c>
      <c r="H10" s="34" t="s">
        <v>26</v>
      </c>
      <c r="I10" s="19">
        <f>(I6+I7+I37+I35+I36+I38)</f>
        <v>104.29900000000001</v>
      </c>
      <c r="J10" s="19">
        <f>(J6+J7+J37+J35+J36+J38)</f>
        <v>305.11700000000002</v>
      </c>
      <c r="K10" s="19">
        <f>(K6+K7+K37+K35+K36+K38)</f>
        <v>522.11899999999991</v>
      </c>
      <c r="L10" s="19">
        <f>(L6+L7+L37+L35+L36+L38)</f>
        <v>1087.4319999999998</v>
      </c>
      <c r="M10" s="19">
        <f>(M6+M7+M37+M35+M36+M38)</f>
        <v>1284.8669999999997</v>
      </c>
    </row>
    <row r="11" spans="1:13" ht="15" customHeight="1">
      <c r="A11" s="35" t="s">
        <v>45</v>
      </c>
      <c r="B11" s="9">
        <v>33.135000000000005</v>
      </c>
      <c r="C11" s="9">
        <v>62.195000000000007</v>
      </c>
      <c r="D11" s="9">
        <v>79.811999999999998</v>
      </c>
      <c r="E11" s="9">
        <v>139.02100000000002</v>
      </c>
      <c r="F11" s="9">
        <v>95.7</v>
      </c>
      <c r="H11" s="34" t="s">
        <v>26</v>
      </c>
      <c r="I11" s="19">
        <f>I40-I28</f>
        <v>104.29899999999998</v>
      </c>
      <c r="J11" s="19">
        <f>J40-J28</f>
        <v>305.11599999999993</v>
      </c>
      <c r="K11" s="19">
        <f>K40-K28</f>
        <v>522.11700000000008</v>
      </c>
      <c r="L11" s="19">
        <f>L40-L28</f>
        <v>1087.431</v>
      </c>
      <c r="M11" s="19">
        <f>M40-M28</f>
        <v>1284.8669999999997</v>
      </c>
    </row>
    <row r="12" spans="1:13" ht="15" customHeight="1">
      <c r="A12" s="35" t="s">
        <v>46</v>
      </c>
      <c r="B12" s="9">
        <v>89.59</v>
      </c>
      <c r="C12" s="9">
        <v>153.80099999999999</v>
      </c>
      <c r="D12" s="9">
        <v>82.251999999999995</v>
      </c>
      <c r="E12" s="9">
        <v>315.64499999999998</v>
      </c>
      <c r="F12" s="9">
        <v>299.99</v>
      </c>
      <c r="I12" s="22"/>
      <c r="J12" s="22"/>
      <c r="K12" s="23"/>
      <c r="L12" s="23"/>
      <c r="M12" s="32"/>
    </row>
    <row r="13" spans="1:13" ht="15" customHeight="1">
      <c r="A13" s="34" t="s">
        <v>4</v>
      </c>
      <c r="B13" s="19">
        <f>B4-B7</f>
        <v>12.757999999999981</v>
      </c>
      <c r="C13" s="19">
        <f>C4-C7</f>
        <v>101.548</v>
      </c>
      <c r="D13" s="19">
        <f>D4-D7</f>
        <v>127.44499999999994</v>
      </c>
      <c r="E13" s="19">
        <f>E4-E7</f>
        <v>193.82499999999982</v>
      </c>
      <c r="F13" s="19">
        <f>F4-F7</f>
        <v>145.70999999999992</v>
      </c>
      <c r="H13" s="34" t="s">
        <v>73</v>
      </c>
      <c r="I13" s="19">
        <f>SUM(I14:I20)</f>
        <v>25.218999999999998</v>
      </c>
      <c r="J13" s="19">
        <f>SUM(J14:J20)</f>
        <v>51.449000000000005</v>
      </c>
      <c r="K13" s="19">
        <f>SUM(K14:K20)</f>
        <v>90.835999999999999</v>
      </c>
      <c r="L13" s="19">
        <f>SUM(L14:L20)</f>
        <v>158.06400000000002</v>
      </c>
      <c r="M13" s="19">
        <f>SUM(M14:M20)</f>
        <v>168.69399999999999</v>
      </c>
    </row>
    <row r="14" spans="1:13" ht="15" customHeight="1">
      <c r="A14" s="35" t="s">
        <v>1</v>
      </c>
      <c r="B14" s="36"/>
      <c r="C14" s="36">
        <f>(C13/B13-1)</f>
        <v>6.9595547891519161</v>
      </c>
      <c r="D14" s="36">
        <f t="shared" ref="D14" si="3">(D13/C13-1)</f>
        <v>0.25502225548509005</v>
      </c>
      <c r="E14" s="36">
        <f t="shared" ref="E14" si="4">(E13/D13-1)</f>
        <v>0.52085213229236071</v>
      </c>
      <c r="F14" s="36"/>
      <c r="H14" s="35" t="s">
        <v>78</v>
      </c>
      <c r="I14" s="9">
        <v>19.34</v>
      </c>
      <c r="J14" s="9">
        <v>39.667000000000002</v>
      </c>
      <c r="K14" s="9">
        <v>75.552999999999997</v>
      </c>
      <c r="L14" s="9">
        <v>113.104</v>
      </c>
      <c r="M14" s="53">
        <v>118.58199999999999</v>
      </c>
    </row>
    <row r="15" spans="1:13" ht="15" customHeight="1">
      <c r="A15" s="35" t="s">
        <v>99</v>
      </c>
      <c r="B15" s="36"/>
      <c r="C15" s="36"/>
      <c r="D15" s="36"/>
      <c r="E15" s="36">
        <f>((E13/B13)^(1/3))-1</f>
        <v>1.4767132731015584</v>
      </c>
      <c r="F15" s="36"/>
      <c r="H15" s="35" t="s">
        <v>77</v>
      </c>
      <c r="I15" s="9">
        <v>0</v>
      </c>
      <c r="J15" s="9">
        <v>0</v>
      </c>
      <c r="K15" s="9">
        <v>0</v>
      </c>
      <c r="L15" s="9">
        <v>0</v>
      </c>
      <c r="M15" s="53"/>
    </row>
    <row r="16" spans="1:13" ht="15" customHeight="1">
      <c r="A16" s="34" t="s">
        <v>5</v>
      </c>
      <c r="B16" s="37">
        <f>(B13/B4)</f>
        <v>3.9471689473700437E-2</v>
      </c>
      <c r="C16" s="37">
        <f>(C13/C4)</f>
        <v>0.14870221629972397</v>
      </c>
      <c r="D16" s="37">
        <f>(D13/D4)</f>
        <v>0.13990631562654027</v>
      </c>
      <c r="E16" s="37">
        <f>(E13/E4)</f>
        <v>0.12036412593257735</v>
      </c>
      <c r="F16" s="37">
        <f>(F13/F4)</f>
        <v>0.13148111385825911</v>
      </c>
      <c r="H16" s="35" t="s">
        <v>62</v>
      </c>
      <c r="I16" s="9">
        <v>3.3570000000000002</v>
      </c>
      <c r="J16" s="9">
        <v>6.4420000000000002</v>
      </c>
      <c r="K16" s="9">
        <v>2.5030000000000001</v>
      </c>
      <c r="L16" s="9">
        <v>1.2589999999999999</v>
      </c>
      <c r="M16" s="53">
        <v>6.9740000000000002</v>
      </c>
    </row>
    <row r="17" spans="1:13" ht="15" customHeight="1">
      <c r="A17" s="35" t="s">
        <v>6</v>
      </c>
      <c r="B17" s="9">
        <v>1.411</v>
      </c>
      <c r="C17" s="9">
        <v>0.26300000000000001</v>
      </c>
      <c r="D17" s="9">
        <v>2.2359999999999998</v>
      </c>
      <c r="E17" s="9">
        <v>7.2919999999999998</v>
      </c>
      <c r="F17" s="9">
        <v>8.8999999999999996E-2</v>
      </c>
      <c r="H17" s="35" t="s">
        <v>81</v>
      </c>
      <c r="I17" s="9">
        <v>0.192</v>
      </c>
      <c r="J17" s="9">
        <v>2.0170000000000003</v>
      </c>
      <c r="K17" s="9">
        <v>3.169</v>
      </c>
      <c r="L17" s="9">
        <v>4.3819999999999997</v>
      </c>
      <c r="M17" s="53">
        <v>3.5419999999999998</v>
      </c>
    </row>
    <row r="18" spans="1:13" ht="15" customHeight="1">
      <c r="A18" s="35" t="s">
        <v>7</v>
      </c>
      <c r="B18" s="9">
        <v>2.903</v>
      </c>
      <c r="C18" s="9">
        <v>6.6829999999999998</v>
      </c>
      <c r="D18" s="9">
        <v>11.705</v>
      </c>
      <c r="E18" s="9">
        <v>22.155000000000001</v>
      </c>
      <c r="F18" s="9">
        <v>11.698</v>
      </c>
      <c r="H18" s="35" t="s">
        <v>82</v>
      </c>
      <c r="I18" s="9">
        <v>0</v>
      </c>
      <c r="J18" s="9">
        <v>0</v>
      </c>
      <c r="K18" s="9">
        <v>0</v>
      </c>
      <c r="L18" s="9">
        <v>0</v>
      </c>
      <c r="M18" s="53"/>
    </row>
    <row r="19" spans="1:13" ht="15" customHeight="1">
      <c r="A19" s="35" t="s">
        <v>61</v>
      </c>
      <c r="B19" s="9">
        <v>4.3049999999999997</v>
      </c>
      <c r="C19" s="9">
        <v>10.337</v>
      </c>
      <c r="D19" s="9">
        <v>18.002000000000002</v>
      </c>
      <c r="E19" s="9">
        <v>20.158000000000001</v>
      </c>
      <c r="F19" s="9">
        <v>9.0250000000000004</v>
      </c>
      <c r="H19" s="35" t="s">
        <v>84</v>
      </c>
      <c r="I19" s="9">
        <v>2.0249999999999999</v>
      </c>
      <c r="J19" s="9">
        <v>1.0269999999999999</v>
      </c>
      <c r="K19" s="9">
        <v>1.274</v>
      </c>
      <c r="L19" s="9">
        <v>2.202</v>
      </c>
      <c r="M19" s="53">
        <v>-4.5999999999999999E-2</v>
      </c>
    </row>
    <row r="20" spans="1:13" ht="15" customHeight="1">
      <c r="A20" s="35" t="s">
        <v>8</v>
      </c>
      <c r="B20" s="9">
        <v>6.9610000000000003</v>
      </c>
      <c r="C20" s="9">
        <v>29.791000000000004</v>
      </c>
      <c r="D20" s="9">
        <v>0</v>
      </c>
      <c r="E20" s="9">
        <v>0</v>
      </c>
      <c r="F20" s="9">
        <v>0</v>
      </c>
      <c r="H20" s="35" t="s">
        <v>63</v>
      </c>
      <c r="I20" s="9">
        <v>0.30499999999999999</v>
      </c>
      <c r="J20" s="9">
        <v>2.2960000000000003</v>
      </c>
      <c r="K20" s="9">
        <v>8.3369999999999997</v>
      </c>
      <c r="L20" s="9">
        <v>37.117000000000004</v>
      </c>
      <c r="M20" s="53">
        <v>39.642000000000003</v>
      </c>
    </row>
    <row r="21" spans="1:13" ht="15" customHeight="1">
      <c r="A21" s="34" t="s">
        <v>9</v>
      </c>
      <c r="B21" s="19">
        <f t="shared" ref="B21:C21" si="5">B13+B17-B18-B19</f>
        <v>6.9609999999999808</v>
      </c>
      <c r="C21" s="19">
        <f t="shared" si="5"/>
        <v>84.791000000000011</v>
      </c>
      <c r="D21" s="19">
        <f>D13+D17-D18-D19</f>
        <v>99.973999999999933</v>
      </c>
      <c r="E21" s="19">
        <f>E13+E17-E18-E19</f>
        <v>158.8039999999998</v>
      </c>
      <c r="F21" s="19">
        <f>F13+F17-F18-F19</f>
        <v>125.07599999999991</v>
      </c>
      <c r="H21" s="34" t="s">
        <v>74</v>
      </c>
      <c r="I21" s="19">
        <f>SUM(I22:I27)</f>
        <v>429.26100000000002</v>
      </c>
      <c r="J21" s="19">
        <f>SUM(J22:J27)</f>
        <v>629.56899999999996</v>
      </c>
      <c r="K21" s="19">
        <f>SUM(K22:K27)</f>
        <v>598.32300000000009</v>
      </c>
      <c r="L21" s="19">
        <f>SUM(L22:L27)</f>
        <v>1251.3319999999999</v>
      </c>
      <c r="M21" s="19">
        <f>SUM(M22:M27)</f>
        <v>1625.6989999999998</v>
      </c>
    </row>
    <row r="22" spans="1:13" ht="15" customHeight="1">
      <c r="A22" s="35" t="s">
        <v>10</v>
      </c>
      <c r="B22" s="9">
        <v>0.67500000000000004</v>
      </c>
      <c r="C22" s="9">
        <v>0.998</v>
      </c>
      <c r="D22" s="9">
        <v>-0.24700000000000003</v>
      </c>
      <c r="E22" s="9">
        <v>30.826999999999998</v>
      </c>
      <c r="F22" s="9">
        <v>43.247999999999998</v>
      </c>
      <c r="H22" s="35" t="s">
        <v>27</v>
      </c>
      <c r="I22" s="9">
        <v>180.97899999999998</v>
      </c>
      <c r="J22" s="9">
        <v>250.73200000000003</v>
      </c>
      <c r="K22" s="9">
        <v>292.80599999999998</v>
      </c>
      <c r="L22" s="9">
        <v>598.91800000000001</v>
      </c>
      <c r="M22" s="53">
        <v>770.84799999999996</v>
      </c>
    </row>
    <row r="23" spans="1:13" ht="15" customHeight="1">
      <c r="A23" s="35" t="s">
        <v>11</v>
      </c>
      <c r="B23" s="38">
        <f>(B22/B21)</f>
        <v>9.6968826318058018E-2</v>
      </c>
      <c r="C23" s="38">
        <f t="shared" ref="C23" si="6">(C22/C21)</f>
        <v>1.1770117111485887E-2</v>
      </c>
      <c r="D23" s="38">
        <f>(D22/D21)</f>
        <v>-2.4706423670154258E-3</v>
      </c>
      <c r="E23" s="38">
        <f>(E22/E21)</f>
        <v>0.19411979547114705</v>
      </c>
      <c r="F23" s="38">
        <f>(F22/F21)</f>
        <v>0.34577376954811501</v>
      </c>
      <c r="H23" s="48" t="s">
        <v>83</v>
      </c>
      <c r="I23" s="9">
        <v>0</v>
      </c>
      <c r="J23" s="9">
        <v>0</v>
      </c>
      <c r="K23" s="9">
        <v>0</v>
      </c>
      <c r="L23" s="9">
        <v>0</v>
      </c>
      <c r="M23" s="53"/>
    </row>
    <row r="24" spans="1:13" ht="15" customHeight="1">
      <c r="A24" s="34" t="s">
        <v>97</v>
      </c>
      <c r="B24" s="18">
        <f t="shared" ref="B24:C24" si="7">B21-B22</f>
        <v>6.2859999999999809</v>
      </c>
      <c r="C24" s="18">
        <f t="shared" si="7"/>
        <v>83.793000000000006</v>
      </c>
      <c r="D24" s="18">
        <f>D21-D22</f>
        <v>100.22099999999993</v>
      </c>
      <c r="E24" s="18">
        <f>E21-E22</f>
        <v>127.9769999999998</v>
      </c>
      <c r="F24" s="18">
        <f>F21-F22</f>
        <v>81.827999999999918</v>
      </c>
      <c r="H24" s="35" t="s">
        <v>70</v>
      </c>
      <c r="I24" s="9">
        <v>169.928</v>
      </c>
      <c r="J24" s="9">
        <v>256.20100000000002</v>
      </c>
      <c r="K24" s="9">
        <v>243.35599999999999</v>
      </c>
      <c r="L24" s="9">
        <v>577.01</v>
      </c>
      <c r="M24" s="53">
        <v>714.88099999999997</v>
      </c>
    </row>
    <row r="25" spans="1:13" ht="15" customHeight="1">
      <c r="A25" s="35" t="s">
        <v>1</v>
      </c>
      <c r="B25" s="36"/>
      <c r="C25" s="36">
        <f>(C24/B24-1)</f>
        <v>12.330098631880411</v>
      </c>
      <c r="D25" s="36">
        <f>(D24/C24-1)</f>
        <v>0.19605456303032387</v>
      </c>
      <c r="E25" s="36">
        <f>(E24/D24-1)</f>
        <v>0.27694794504145737</v>
      </c>
      <c r="F25" s="36"/>
      <c r="H25" s="35" t="s">
        <v>28</v>
      </c>
      <c r="I25" s="9">
        <v>31.693999999999999</v>
      </c>
      <c r="J25" s="9">
        <v>67.960999999999999</v>
      </c>
      <c r="K25" s="9">
        <v>2.0469999999999997</v>
      </c>
      <c r="L25" s="9">
        <v>0.85600000000000009</v>
      </c>
      <c r="M25" s="53">
        <v>1.177</v>
      </c>
    </row>
    <row r="26" spans="1:13" ht="15" customHeight="1">
      <c r="A26" s="35" t="s">
        <v>2</v>
      </c>
      <c r="B26" s="36"/>
      <c r="C26" s="36"/>
      <c r="D26" s="36"/>
      <c r="E26" s="36">
        <f>((E24/B24)^(1/3))-1</f>
        <v>1.7305649812743704</v>
      </c>
      <c r="F26" s="36"/>
      <c r="H26" s="35" t="s">
        <v>85</v>
      </c>
      <c r="I26" s="9">
        <v>0</v>
      </c>
      <c r="J26" s="9">
        <v>0</v>
      </c>
      <c r="K26" s="9">
        <v>2.081</v>
      </c>
      <c r="L26" s="9">
        <v>2.4989999999999997</v>
      </c>
      <c r="M26" s="53">
        <v>2.161</v>
      </c>
    </row>
    <row r="27" spans="1:13" ht="15" customHeight="1">
      <c r="A27" s="34" t="s">
        <v>54</v>
      </c>
      <c r="B27" s="39">
        <f>(B24/B4)</f>
        <v>1.9448114126954113E-2</v>
      </c>
      <c r="C27" s="39">
        <f>(C24/C4)</f>
        <v>0.12270261167529417</v>
      </c>
      <c r="D27" s="39">
        <f>(D24/D4)</f>
        <v>0.11002040769278897</v>
      </c>
      <c r="E27" s="39">
        <f>(E24/E4)</f>
        <v>7.9472925290718144E-2</v>
      </c>
      <c r="F27" s="39">
        <f>(F24/F4)</f>
        <v>7.3837324718918546E-2</v>
      </c>
      <c r="H27" s="35" t="s">
        <v>86</v>
      </c>
      <c r="I27" s="9">
        <v>46.660000000000004</v>
      </c>
      <c r="J27" s="9">
        <v>54.674999999999997</v>
      </c>
      <c r="K27" s="9">
        <v>58.033000000000001</v>
      </c>
      <c r="L27" s="9">
        <v>72.049000000000007</v>
      </c>
      <c r="M27" s="53">
        <v>136.63200000000001</v>
      </c>
    </row>
    <row r="28" spans="1:13" ht="15" customHeight="1">
      <c r="A28" s="35" t="s">
        <v>47</v>
      </c>
      <c r="B28" s="9">
        <v>0</v>
      </c>
      <c r="C28" s="9">
        <v>0.10300000000000001</v>
      </c>
      <c r="D28" s="9">
        <v>0.248</v>
      </c>
      <c r="E28" s="9">
        <v>0</v>
      </c>
      <c r="F28" s="9">
        <v>0</v>
      </c>
      <c r="H28" s="34" t="s">
        <v>75</v>
      </c>
      <c r="I28" s="19">
        <f>I29+I30+I31+I32+I33+I8</f>
        <v>350.18100000000004</v>
      </c>
      <c r="J28" s="19">
        <f>J29+J30+J31+J32+J33+J8</f>
        <v>375.90199999999999</v>
      </c>
      <c r="K28" s="19">
        <f t="shared" ref="K28" si="8">K29+K30+K31+K32+K33+K8</f>
        <v>167.042</v>
      </c>
      <c r="L28" s="19">
        <f>L29+L30+L31+L32+L33+L8</f>
        <v>321.96499999999992</v>
      </c>
      <c r="M28" s="19">
        <f>M29+M30+M31+M32+M33+M8</f>
        <v>509.52599999999995</v>
      </c>
    </row>
    <row r="29" spans="1:13" ht="15" customHeight="1">
      <c r="A29" s="34" t="s">
        <v>100</v>
      </c>
      <c r="B29" s="19">
        <f>B24+B28</f>
        <v>6.2859999999999809</v>
      </c>
      <c r="C29" s="19">
        <f t="shared" ref="C29" si="9">C24+C28</f>
        <v>83.896000000000001</v>
      </c>
      <c r="D29" s="18">
        <f>D24+D28</f>
        <v>100.46899999999994</v>
      </c>
      <c r="E29" s="18">
        <f>E24+E28</f>
        <v>127.9769999999998</v>
      </c>
      <c r="F29" s="18">
        <f>F24+F28</f>
        <v>81.827999999999918</v>
      </c>
      <c r="H29" s="35" t="s">
        <v>91</v>
      </c>
      <c r="I29" s="9">
        <v>348.12700000000001</v>
      </c>
      <c r="J29" s="9">
        <v>277.78800000000001</v>
      </c>
      <c r="K29" s="9">
        <v>108.41500000000001</v>
      </c>
      <c r="L29" s="9">
        <v>169.56099999999998</v>
      </c>
      <c r="M29" s="53">
        <v>175.18</v>
      </c>
    </row>
    <row r="30" spans="1:13" ht="15" customHeight="1">
      <c r="A30" s="35" t="s">
        <v>1</v>
      </c>
      <c r="B30" s="36"/>
      <c r="C30" s="36">
        <f>(C29/B29-1)</f>
        <v>12.346484250715918</v>
      </c>
      <c r="D30" s="36">
        <f>(D29/C29-1)</f>
        <v>0.19754219509869286</v>
      </c>
      <c r="E30" s="36">
        <f>(E29/D29-1)</f>
        <v>0.27379589724193409</v>
      </c>
      <c r="F30" s="36"/>
      <c r="H30" s="35" t="s">
        <v>67</v>
      </c>
      <c r="I30" s="9">
        <v>0</v>
      </c>
      <c r="J30" s="9">
        <v>50.024999999999999</v>
      </c>
      <c r="K30" s="9">
        <v>0</v>
      </c>
      <c r="L30" s="9">
        <v>0</v>
      </c>
      <c r="M30" s="9">
        <v>0</v>
      </c>
    </row>
    <row r="31" spans="1:13" ht="15" customHeight="1">
      <c r="A31" s="35" t="s">
        <v>2</v>
      </c>
      <c r="B31" s="36"/>
      <c r="C31" s="36"/>
      <c r="D31" s="36"/>
      <c r="E31" s="36">
        <f>((E29/B29)^(1/3))-1</f>
        <v>1.7305649812743704</v>
      </c>
      <c r="F31" s="36"/>
      <c r="H31" s="35" t="s">
        <v>93</v>
      </c>
      <c r="I31" s="9">
        <v>1.4750000000000001</v>
      </c>
      <c r="J31" s="9">
        <v>2.9739999999999998</v>
      </c>
      <c r="K31" s="9">
        <v>3.2630000000000003</v>
      </c>
      <c r="L31" s="9">
        <v>2.944</v>
      </c>
      <c r="M31" s="53">
        <v>3.9159999999999999</v>
      </c>
    </row>
    <row r="32" spans="1:13" ht="15" customHeight="1">
      <c r="A32" s="34" t="s">
        <v>12</v>
      </c>
      <c r="B32" s="18">
        <v>1.1399999999999999</v>
      </c>
      <c r="C32" s="18">
        <v>5.2200000000000006</v>
      </c>
      <c r="D32" s="18">
        <v>12.58</v>
      </c>
      <c r="E32" s="18">
        <v>11.579999999999998</v>
      </c>
      <c r="F32" s="18">
        <v>5.74</v>
      </c>
      <c r="H32" s="35" t="s">
        <v>92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</row>
    <row r="33" spans="1:14" ht="15" customHeight="1">
      <c r="A33" s="35" t="s">
        <v>1</v>
      </c>
      <c r="B33" s="40"/>
      <c r="C33" s="36">
        <f>(C32/B32-1)</f>
        <v>3.578947368421054</v>
      </c>
      <c r="D33" s="36">
        <f>(D32/C32-1)</f>
        <v>1.4099616858237547</v>
      </c>
      <c r="E33" s="36">
        <f>(E32/D32-1)</f>
        <v>-7.9491255961844365E-2</v>
      </c>
      <c r="F33" s="36"/>
      <c r="H33" s="35" t="s">
        <v>90</v>
      </c>
      <c r="I33" s="9">
        <v>0.26700000000000002</v>
      </c>
      <c r="J33" s="9">
        <v>4.0549999999999997</v>
      </c>
      <c r="K33" s="9">
        <v>8.6959999999999997</v>
      </c>
      <c r="L33" s="9">
        <v>38.924999999999997</v>
      </c>
      <c r="M33" s="53">
        <v>83.305999999999997</v>
      </c>
    </row>
    <row r="34" spans="1:14" ht="15" customHeight="1">
      <c r="A34" s="35" t="s">
        <v>99</v>
      </c>
      <c r="B34" s="40"/>
      <c r="C34" s="36"/>
      <c r="D34" s="36"/>
      <c r="E34" s="36">
        <f>((E32/B32)^(1/3))-1</f>
        <v>1.1657146584061033</v>
      </c>
      <c r="F34" s="36"/>
      <c r="H34" s="34" t="s">
        <v>76</v>
      </c>
      <c r="I34" s="49">
        <f>I35+I36+I37+I38+I7</f>
        <v>1.7719999999999998</v>
      </c>
      <c r="J34" s="19">
        <f>J35+J36+J37+J38+J7</f>
        <v>161.691</v>
      </c>
      <c r="K34" s="19">
        <f>K35+K36+K37+K38+K7</f>
        <v>15.178000000000001</v>
      </c>
      <c r="L34" s="19">
        <f>L35+L36+L37+L38+L7</f>
        <v>27.914000000000001</v>
      </c>
      <c r="M34" s="19">
        <f>M35+M36+M37+M38+M7</f>
        <v>23.085000000000001</v>
      </c>
    </row>
    <row r="35" spans="1:14" ht="15" customHeight="1">
      <c r="F35" s="32"/>
      <c r="H35" s="35" t="s">
        <v>87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</row>
    <row r="36" spans="1:14" ht="15" customHeight="1">
      <c r="F36" s="32"/>
      <c r="H36" s="35" t="s">
        <v>88</v>
      </c>
      <c r="I36" s="9">
        <v>0</v>
      </c>
      <c r="J36" s="9">
        <v>154.642</v>
      </c>
      <c r="K36" s="9">
        <v>0</v>
      </c>
      <c r="L36" s="9">
        <v>0</v>
      </c>
      <c r="M36" s="9">
        <v>0</v>
      </c>
    </row>
    <row r="37" spans="1:14" ht="15" customHeight="1">
      <c r="A37" s="11" t="s">
        <v>13</v>
      </c>
      <c r="B37" s="11"/>
      <c r="C37" s="11"/>
      <c r="D37" s="11"/>
      <c r="E37" s="11"/>
      <c r="F37" s="32"/>
      <c r="H37" s="35" t="s">
        <v>89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</row>
    <row r="38" spans="1:14" ht="15" customHeight="1">
      <c r="A38" s="6" t="s">
        <v>0</v>
      </c>
      <c r="B38" s="12" t="s">
        <v>79</v>
      </c>
      <c r="C38" s="12" t="s">
        <v>80</v>
      </c>
      <c r="D38" s="12" t="s">
        <v>102</v>
      </c>
      <c r="E38" s="12" t="s">
        <v>103</v>
      </c>
      <c r="F38" s="12" t="s">
        <v>107</v>
      </c>
      <c r="H38" s="35" t="s">
        <v>90</v>
      </c>
      <c r="I38" s="9">
        <v>1.7719999999999998</v>
      </c>
      <c r="J38" s="9">
        <v>2.2039999999999997</v>
      </c>
      <c r="K38" s="9">
        <v>2.88</v>
      </c>
      <c r="L38" s="9">
        <v>3.6680000000000001</v>
      </c>
      <c r="M38" s="53">
        <v>3.6680000000000001</v>
      </c>
    </row>
    <row r="39" spans="1:14" ht="15" customHeight="1">
      <c r="A39" s="10" t="s">
        <v>14</v>
      </c>
      <c r="B39" s="18">
        <v>1.6809999999999998</v>
      </c>
      <c r="C39" s="18">
        <v>0.49199999999999999</v>
      </c>
      <c r="D39" s="18">
        <v>0.54500000000000004</v>
      </c>
      <c r="E39" s="18">
        <f>D44</f>
        <v>2.0470000000000095</v>
      </c>
      <c r="F39" s="18">
        <f>E44</f>
        <v>0.85500000000005905</v>
      </c>
      <c r="H39" s="34" t="s">
        <v>101</v>
      </c>
      <c r="I39" s="19">
        <f>(I21-I28)</f>
        <v>79.079999999999984</v>
      </c>
      <c r="J39" s="19">
        <f>(J21-J28)</f>
        <v>253.66699999999997</v>
      </c>
      <c r="K39" s="19">
        <f>(K21-K28)</f>
        <v>431.28100000000006</v>
      </c>
      <c r="L39" s="19">
        <f>(L21-L28)</f>
        <v>929.36699999999996</v>
      </c>
      <c r="M39" s="19">
        <f>(M21-M28)</f>
        <v>1116.1729999999998</v>
      </c>
    </row>
    <row r="40" spans="1:14" ht="15" customHeight="1">
      <c r="A40" s="8" t="s">
        <v>15</v>
      </c>
      <c r="B40" s="41">
        <v>31.276</v>
      </c>
      <c r="C40" s="41">
        <v>-184.21700000000001</v>
      </c>
      <c r="D40" s="41">
        <v>-83.977999999999994</v>
      </c>
      <c r="E40" s="41">
        <v>-393.02</v>
      </c>
      <c r="F40" s="53">
        <v>-200.45</v>
      </c>
      <c r="H40" s="34" t="s">
        <v>56</v>
      </c>
      <c r="I40" s="19">
        <f>I13+I21</f>
        <v>454.48</v>
      </c>
      <c r="J40" s="19">
        <f>J13+J21</f>
        <v>681.01799999999992</v>
      </c>
      <c r="K40" s="19">
        <f>K13+K21</f>
        <v>689.15900000000011</v>
      </c>
      <c r="L40" s="19">
        <f>L13+L21</f>
        <v>1409.396</v>
      </c>
      <c r="M40" s="19">
        <f>M13+M21</f>
        <v>1794.3929999999998</v>
      </c>
    </row>
    <row r="41" spans="1:14" ht="15" customHeight="1">
      <c r="A41" s="8" t="s">
        <v>53</v>
      </c>
      <c r="B41" s="41">
        <v>-11.282999999999999</v>
      </c>
      <c r="C41" s="41">
        <v>-68.063999999999993</v>
      </c>
      <c r="D41" s="41">
        <v>20.638000000000002</v>
      </c>
      <c r="E41" s="41">
        <v>-59.214999999999996</v>
      </c>
      <c r="F41" s="53">
        <v>-22.34</v>
      </c>
      <c r="H41" s="34" t="s">
        <v>57</v>
      </c>
      <c r="I41" s="19">
        <f>I6+I28+I34</f>
        <v>454.48</v>
      </c>
      <c r="J41" s="19">
        <f>J6+J28+J34</f>
        <v>681.01900000000001</v>
      </c>
      <c r="K41" s="19">
        <f>K6+K28+K34</f>
        <v>689.16099999999994</v>
      </c>
      <c r="L41" s="19">
        <f>L6+L28+L34</f>
        <v>1409.3969999999997</v>
      </c>
      <c r="M41" s="19">
        <f>M6+M28+M34</f>
        <v>1794.393</v>
      </c>
    </row>
    <row r="42" spans="1:14" ht="15" customHeight="1">
      <c r="A42" s="8" t="s">
        <v>16</v>
      </c>
      <c r="B42" s="41">
        <v>10.02</v>
      </c>
      <c r="C42" s="41">
        <v>252.33499999999998</v>
      </c>
      <c r="D42" s="41">
        <v>64.841999999999999</v>
      </c>
      <c r="E42" s="41">
        <v>451.04300000000001</v>
      </c>
      <c r="F42" s="54">
        <v>223.11</v>
      </c>
      <c r="G42" s="4"/>
      <c r="H42" s="10" t="s">
        <v>29</v>
      </c>
      <c r="I42" s="9"/>
      <c r="J42" s="9"/>
      <c r="K42" s="9"/>
    </row>
    <row r="43" spans="1:14" ht="15" customHeight="1">
      <c r="A43" s="10" t="s">
        <v>17</v>
      </c>
      <c r="B43" s="18">
        <f>B40+B41+B42</f>
        <v>30.013000000000002</v>
      </c>
      <c r="C43" s="18">
        <f>C40+C41+C42</f>
        <v>5.3999999999973625E-2</v>
      </c>
      <c r="D43" s="18">
        <f>D40+D41+D42</f>
        <v>1.5020000000000095</v>
      </c>
      <c r="E43" s="18">
        <f>E40+E41+E42</f>
        <v>-1.1919999999999504</v>
      </c>
      <c r="F43" s="18">
        <f>F40+F41+F42</f>
        <v>0.3200000000000216</v>
      </c>
      <c r="G43" s="4"/>
      <c r="H43" s="6" t="s">
        <v>30</v>
      </c>
      <c r="I43" s="20" t="s">
        <v>79</v>
      </c>
      <c r="J43" s="20" t="s">
        <v>80</v>
      </c>
      <c r="K43" s="20" t="s">
        <v>102</v>
      </c>
      <c r="L43" s="20" t="s">
        <v>103</v>
      </c>
      <c r="M43" s="12" t="s">
        <v>107</v>
      </c>
    </row>
    <row r="44" spans="1:14" ht="15" customHeight="1">
      <c r="A44" s="10" t="s">
        <v>48</v>
      </c>
      <c r="B44" s="18">
        <f t="shared" ref="B44:C44" si="10">+B39+B43</f>
        <v>31.694000000000003</v>
      </c>
      <c r="C44" s="18">
        <f t="shared" si="10"/>
        <v>0.54599999999997362</v>
      </c>
      <c r="D44" s="18">
        <f>+D39+D43</f>
        <v>2.0470000000000095</v>
      </c>
      <c r="E44" s="18">
        <f>+E39+E43</f>
        <v>0.85500000000005905</v>
      </c>
      <c r="F44" s="18">
        <f>+F39+F43</f>
        <v>1.1750000000000806</v>
      </c>
      <c r="G44" s="4"/>
      <c r="H44" s="13" t="s">
        <v>68</v>
      </c>
      <c r="I44" s="18">
        <v>49.9</v>
      </c>
      <c r="J44" s="18">
        <v>35.33</v>
      </c>
      <c r="K44" s="52">
        <v>294.5</v>
      </c>
      <c r="L44" s="52">
        <v>322.3</v>
      </c>
      <c r="M44" s="52">
        <v>325.8</v>
      </c>
    </row>
    <row r="45" spans="1:14" ht="15" customHeight="1">
      <c r="F45" s="33"/>
      <c r="G45" s="4"/>
      <c r="H45" s="13" t="s">
        <v>31</v>
      </c>
      <c r="I45" s="18">
        <f>B32</f>
        <v>1.1399999999999999</v>
      </c>
      <c r="J45" s="18">
        <f>C32</f>
        <v>5.2200000000000006</v>
      </c>
      <c r="K45" s="52">
        <f>D32</f>
        <v>12.58</v>
      </c>
      <c r="L45" s="52">
        <f>E32</f>
        <v>11.579999999999998</v>
      </c>
      <c r="M45" s="52">
        <f>L45+5.74-3.92</f>
        <v>13.4</v>
      </c>
      <c r="N45" s="4" t="s">
        <v>106</v>
      </c>
    </row>
    <row r="46" spans="1:14" ht="15" customHeight="1">
      <c r="A46" s="6" t="s">
        <v>18</v>
      </c>
      <c r="B46" s="12" t="s">
        <v>79</v>
      </c>
      <c r="C46" s="12" t="s">
        <v>80</v>
      </c>
      <c r="D46" s="12" t="s">
        <v>102</v>
      </c>
      <c r="E46" s="12" t="s">
        <v>103</v>
      </c>
      <c r="F46" s="12" t="s">
        <v>107</v>
      </c>
      <c r="H46" s="13" t="s">
        <v>32</v>
      </c>
      <c r="I46" s="18">
        <f>(I6*1000000)/B53</f>
        <v>18.592587192591328</v>
      </c>
      <c r="J46" s="18">
        <f>(J6*1000000)/C53</f>
        <v>22.563025401770073</v>
      </c>
      <c r="K46" s="52">
        <f>(K6*1000000)/D53</f>
        <v>51.7539219899014</v>
      </c>
      <c r="L46" s="52">
        <f>(L6*1000000)/E53</f>
        <v>83.671171171171153</v>
      </c>
      <c r="M46" s="52">
        <f>(M6*1000000)/F53</f>
        <v>86.008815040919188</v>
      </c>
    </row>
    <row r="47" spans="1:14" ht="15" customHeight="1">
      <c r="A47" s="34" t="s">
        <v>19</v>
      </c>
      <c r="B47" s="19">
        <f>B40</f>
        <v>31.276</v>
      </c>
      <c r="C47" s="19">
        <f t="shared" ref="C47:D47" si="11">C40</f>
        <v>-184.21700000000001</v>
      </c>
      <c r="D47" s="19">
        <f t="shared" si="11"/>
        <v>-83.977999999999994</v>
      </c>
      <c r="E47" s="19">
        <f>E40</f>
        <v>-393.02</v>
      </c>
      <c r="F47" s="19">
        <f>F40</f>
        <v>-200.45</v>
      </c>
      <c r="H47" s="13" t="s">
        <v>33</v>
      </c>
      <c r="I47" s="41"/>
      <c r="J47" s="41"/>
      <c r="K47" s="42"/>
      <c r="L47" s="42"/>
      <c r="M47" s="42"/>
    </row>
    <row r="48" spans="1:14" ht="15" customHeight="1">
      <c r="A48" s="35" t="s">
        <v>20</v>
      </c>
      <c r="B48" s="9">
        <v>-11.292</v>
      </c>
      <c r="C48" s="9">
        <v>-31.919</v>
      </c>
      <c r="D48" s="9">
        <v>-44.804999999999993</v>
      </c>
      <c r="E48" s="50">
        <v>-59.783999999999999</v>
      </c>
      <c r="F48" s="53">
        <v>-22.05</v>
      </c>
      <c r="H48" s="17" t="s">
        <v>34</v>
      </c>
      <c r="I48" s="41">
        <f>(I44/I45)</f>
        <v>43.771929824561404</v>
      </c>
      <c r="J48" s="41">
        <f t="shared" ref="J48" si="12">(J44/J45)</f>
        <v>6.7681992337164738</v>
      </c>
      <c r="K48" s="42">
        <f>(K44/K45)</f>
        <v>23.410174880763115</v>
      </c>
      <c r="L48" s="42">
        <f>(L44/L45)</f>
        <v>27.832469775474962</v>
      </c>
      <c r="M48" s="42">
        <v>0</v>
      </c>
    </row>
    <row r="49" spans="1:13" ht="15" customHeight="1">
      <c r="A49" s="34" t="s">
        <v>21</v>
      </c>
      <c r="B49" s="19">
        <f>SUM(B47:B48)</f>
        <v>19.984000000000002</v>
      </c>
      <c r="C49" s="19">
        <f>SUM(C47:C48)</f>
        <v>-216.13600000000002</v>
      </c>
      <c r="D49" s="19">
        <f>SUM(D47:D48)</f>
        <v>-128.78299999999999</v>
      </c>
      <c r="E49" s="19">
        <f>SUM(E47:E48)</f>
        <v>-452.80399999999997</v>
      </c>
      <c r="F49" s="19">
        <f>SUM(F47:F48)</f>
        <v>-222.5</v>
      </c>
      <c r="H49" s="13" t="s">
        <v>35</v>
      </c>
      <c r="I49" s="41">
        <f t="shared" ref="I49:J49" si="13">(I44/I46)</f>
        <v>2.683865321329991</v>
      </c>
      <c r="J49" s="41">
        <f t="shared" si="13"/>
        <v>1.5658361133267329</v>
      </c>
      <c r="K49" s="42">
        <f>(K44/K46)</f>
        <v>5.6903899970608016</v>
      </c>
      <c r="L49" s="42">
        <f>(L44/L46)</f>
        <v>3.8519838492597587</v>
      </c>
      <c r="M49" s="42">
        <f>(M44/M46)</f>
        <v>3.7879838228790712</v>
      </c>
    </row>
    <row r="50" spans="1:13" ht="15" customHeight="1">
      <c r="A50" s="51" t="s">
        <v>22</v>
      </c>
      <c r="B50" s="51"/>
      <c r="C50" s="51"/>
      <c r="D50" s="51"/>
      <c r="E50" s="51"/>
      <c r="H50" s="13" t="s">
        <v>36</v>
      </c>
      <c r="I50" s="41">
        <f>B57/2062</f>
        <v>0.11822825402521825</v>
      </c>
      <c r="J50" s="41">
        <f>C57/2062</f>
        <v>9.8218045775945687E-2</v>
      </c>
      <c r="K50" s="43">
        <f>D57/D13</f>
        <v>23.065086864922133</v>
      </c>
      <c r="L50" s="43">
        <f>E57/E13</f>
        <v>21.734411061524597</v>
      </c>
      <c r="M50" s="43" t="s">
        <v>105</v>
      </c>
    </row>
    <row r="51" spans="1:13" ht="15" customHeight="1">
      <c r="H51" s="14" t="s">
        <v>37</v>
      </c>
      <c r="I51" s="44">
        <f>B24/I6</f>
        <v>6.1310679138178052E-2</v>
      </c>
      <c r="J51" s="44">
        <f>C24/J6</f>
        <v>0.58422461757282507</v>
      </c>
      <c r="K51" s="44">
        <f>D24/K6</f>
        <v>0.19769756243823233</v>
      </c>
      <c r="L51" s="44">
        <f>E24/L6</f>
        <v>0.12078794319681198</v>
      </c>
      <c r="M51" s="61" t="s">
        <v>105</v>
      </c>
    </row>
    <row r="52" spans="1:13" ht="15" customHeight="1">
      <c r="A52" s="6" t="s">
        <v>18</v>
      </c>
      <c r="B52" s="12" t="s">
        <v>79</v>
      </c>
      <c r="C52" s="12" t="s">
        <v>80</v>
      </c>
      <c r="D52" s="12" t="s">
        <v>102</v>
      </c>
      <c r="E52" s="12" t="s">
        <v>103</v>
      </c>
      <c r="F52" s="12" t="s">
        <v>107</v>
      </c>
      <c r="H52" s="14" t="s">
        <v>38</v>
      </c>
      <c r="I52" s="44">
        <f>(B13-B18)/I6</f>
        <v>9.6121021779628599E-2</v>
      </c>
      <c r="J52" s="44">
        <f>(C13-C18)/J6</f>
        <v>0.66142122069917597</v>
      </c>
      <c r="K52" s="44">
        <f>(D21+D19)/K11</f>
        <v>0.22595701729688925</v>
      </c>
      <c r="L52" s="44">
        <f>(E21+E19)/L11</f>
        <v>0.16457320050651472</v>
      </c>
      <c r="M52" s="61" t="s">
        <v>105</v>
      </c>
    </row>
    <row r="53" spans="1:13" ht="15" customHeight="1">
      <c r="A53" s="10" t="s">
        <v>49</v>
      </c>
      <c r="B53" s="9">
        <v>5514402</v>
      </c>
      <c r="C53" s="9">
        <v>6356683</v>
      </c>
      <c r="D53" s="9">
        <v>9795219</v>
      </c>
      <c r="E53" s="9">
        <v>12662880</v>
      </c>
      <c r="F53" s="9">
        <v>14670380</v>
      </c>
      <c r="H53" s="13" t="s">
        <v>39</v>
      </c>
      <c r="I53" s="41">
        <f>(I9/I6)</f>
        <v>3.0431008417294955E-3</v>
      </c>
      <c r="J53" s="41">
        <f>(J9/J6)</f>
        <v>0.32006051901328914</v>
      </c>
      <c r="K53" s="41">
        <f>(K9/K6)</f>
        <v>0.11631728347085757</v>
      </c>
      <c r="L53" s="41">
        <f>(L9/L6)</f>
        <v>0.12720973121740267</v>
      </c>
      <c r="M53" s="41">
        <f>(M9/M6)</f>
        <v>0.21124172004355746</v>
      </c>
    </row>
    <row r="54" spans="1:13" ht="15" customHeight="1">
      <c r="A54" s="10" t="s">
        <v>98</v>
      </c>
      <c r="B54" s="19">
        <f>B53*I44/1000000</f>
        <v>275.1686598</v>
      </c>
      <c r="C54" s="19">
        <f>C53*J44/1000000</f>
        <v>224.58161038999998</v>
      </c>
      <c r="D54" s="19">
        <f>D53*K44/1000000</f>
        <v>2884.6919954999998</v>
      </c>
      <c r="E54" s="19">
        <f>E53*L44/1000000</f>
        <v>4081.246224</v>
      </c>
      <c r="F54" s="19">
        <f>F53*M44/1000000</f>
        <v>4779.6098039999997</v>
      </c>
      <c r="H54" s="13" t="s">
        <v>40</v>
      </c>
      <c r="I54" s="41">
        <f>(I9-I25)/I6</f>
        <v>-0.30608522633062507</v>
      </c>
      <c r="J54" s="41">
        <f>(J9-J25)/J6</f>
        <v>-0.15377964943594605</v>
      </c>
      <c r="K54" s="41">
        <f>(K9-K25)/K6</f>
        <v>0.11227933822673646</v>
      </c>
      <c r="L54" s="41">
        <f>(L9-L25)/L6</f>
        <v>0.12640181667512967</v>
      </c>
      <c r="M54" s="41">
        <f>(M9-M25)/M6</f>
        <v>0.2103089123160736</v>
      </c>
    </row>
    <row r="55" spans="1:13" ht="15" customHeight="1">
      <c r="A55" s="10" t="s">
        <v>52</v>
      </c>
      <c r="B55" s="9">
        <f>I9</f>
        <v>0.312</v>
      </c>
      <c r="C55" s="9">
        <f>J9</f>
        <v>45.905000000000001</v>
      </c>
      <c r="D55" s="9">
        <f>K9</f>
        <v>58.966000000000001</v>
      </c>
      <c r="E55" s="9">
        <f>L9</f>
        <v>134.78100000000001</v>
      </c>
      <c r="F55" s="9">
        <f>M9</f>
        <v>266.541</v>
      </c>
      <c r="H55" s="15" t="s">
        <v>41</v>
      </c>
      <c r="I55" s="45">
        <f t="shared" ref="I55" si="14">(I47/I44)</f>
        <v>0</v>
      </c>
      <c r="J55" s="45">
        <f>(J47/J44)</f>
        <v>0</v>
      </c>
      <c r="K55" s="45">
        <f>(K47/K44)</f>
        <v>0</v>
      </c>
      <c r="L55" s="45">
        <f>(L47/L44)</f>
        <v>0</v>
      </c>
      <c r="M55" s="62" t="s">
        <v>105</v>
      </c>
    </row>
    <row r="56" spans="1:13" ht="15" customHeight="1">
      <c r="A56" s="10" t="s">
        <v>50</v>
      </c>
      <c r="B56" s="9">
        <f>I25+I26</f>
        <v>31.693999999999999</v>
      </c>
      <c r="C56" s="9">
        <f>J25+J26</f>
        <v>67.960999999999999</v>
      </c>
      <c r="D56" s="9">
        <f>K25+K26</f>
        <v>4.1280000000000001</v>
      </c>
      <c r="E56" s="9">
        <f>L25+L26</f>
        <v>3.3549999999999995</v>
      </c>
      <c r="F56" s="9">
        <f>M25+M26</f>
        <v>3.3380000000000001</v>
      </c>
      <c r="H56" s="13" t="s">
        <v>42</v>
      </c>
      <c r="I56" s="46" t="s">
        <v>105</v>
      </c>
      <c r="J56" s="46">
        <f>(AVERAGE(J24,I24))/(C4)*365</f>
        <v>113.88067345638788</v>
      </c>
      <c r="K56" s="46">
        <f>(AVERAGE(K24,J24))/(D4)*365</f>
        <v>100.08348876040009</v>
      </c>
      <c r="L56" s="46">
        <f>(AVERAGE(L24,K24))/(E4)*365</f>
        <v>92.973203495946791</v>
      </c>
      <c r="M56" s="46">
        <v>0</v>
      </c>
    </row>
    <row r="57" spans="1:13" ht="15" customHeight="1">
      <c r="A57" s="10" t="s">
        <v>51</v>
      </c>
      <c r="B57" s="19">
        <f>B54+B55-B56</f>
        <v>243.78665980000002</v>
      </c>
      <c r="C57" s="19">
        <f>C54+C55-C56</f>
        <v>202.52561039</v>
      </c>
      <c r="D57" s="19">
        <f>D54+D55-D56</f>
        <v>2939.5299954999996</v>
      </c>
      <c r="E57" s="19">
        <f>E54+E55-E56</f>
        <v>4212.6722240000008</v>
      </c>
      <c r="F57" s="19">
        <f>F54+F55-F56</f>
        <v>5042.8128040000001</v>
      </c>
      <c r="H57" s="13" t="s">
        <v>43</v>
      </c>
      <c r="I57" s="46" t="s">
        <v>105</v>
      </c>
      <c r="J57" s="46">
        <f>AVERAGE(I29,J29)/SUM(C8:C10)*365</f>
        <v>312.65683548149588</v>
      </c>
      <c r="K57" s="46">
        <f>AVERAGE(J29,K29)/SUM(D8:D10)*365</f>
        <v>113.42058617171585</v>
      </c>
      <c r="L57" s="46">
        <f>AVERAGE(K29,L29)/SUM(E8:E10)*365</f>
        <v>52.743798026888292</v>
      </c>
      <c r="M57" s="46">
        <v>0</v>
      </c>
    </row>
    <row r="58" spans="1:13" ht="15" customHeight="1">
      <c r="H58" s="10" t="s">
        <v>44</v>
      </c>
      <c r="I58" s="46" t="s">
        <v>105</v>
      </c>
      <c r="J58" s="46">
        <f>AVERAGE(J22,I22)/SUM(C8:C9)*365</f>
        <v>197.72245491550262</v>
      </c>
      <c r="K58" s="46">
        <f>AVERAGE(K22,J22)/SUM(D8:D9)*365</f>
        <v>160.99223081317595</v>
      </c>
      <c r="L58" s="46">
        <f>AVERAGE(L22,K22)/SUM(E8:E9)*365</f>
        <v>139.15947452086326</v>
      </c>
      <c r="M58" s="46">
        <v>0</v>
      </c>
    </row>
    <row r="59" spans="1:13" ht="15" customHeight="1">
      <c r="H59" s="13" t="s">
        <v>64</v>
      </c>
      <c r="I59" s="46" t="s">
        <v>105</v>
      </c>
      <c r="J59" s="46">
        <f t="shared" ref="J59:K59" si="15">J58+J56-J57</f>
        <v>-1.053707109605341</v>
      </c>
      <c r="K59" s="46">
        <f t="shared" si="15"/>
        <v>147.65513340186021</v>
      </c>
      <c r="L59" s="46">
        <f>L58+L56-L57</f>
        <v>179.38887998992175</v>
      </c>
      <c r="M59" s="46">
        <f>M58+M56-M57</f>
        <v>0</v>
      </c>
    </row>
    <row r="60" spans="1:13" ht="15" customHeight="1">
      <c r="H60" s="10" t="s">
        <v>66</v>
      </c>
      <c r="I60" s="46">
        <f>AVERAGE(I39:I39)/B4*365</f>
        <v>89.302299679164889</v>
      </c>
      <c r="J60" s="46">
        <f>AVERAGE(J39:J39)/C4*365</f>
        <v>135.58227106656221</v>
      </c>
      <c r="K60" s="46">
        <f>AVERAGE(K39:K39)/D4*365</f>
        <v>172.80953771471169</v>
      </c>
      <c r="L60" s="46">
        <f>AVERAGE(L39:L39)/E4*365</f>
        <v>210.65287253108386</v>
      </c>
      <c r="M60" s="46">
        <v>0</v>
      </c>
    </row>
    <row r="61" spans="1:13" ht="15" customHeight="1">
      <c r="H61" s="10" t="s">
        <v>55</v>
      </c>
      <c r="I61" s="44">
        <f>B19/I9</f>
        <v>13.798076923076922</v>
      </c>
      <c r="J61" s="44">
        <f>C19/J9</f>
        <v>0.22518244199978216</v>
      </c>
      <c r="K61" s="44">
        <f>D19/K9</f>
        <v>0.30529457653563075</v>
      </c>
      <c r="L61" s="44">
        <f>E19/L9</f>
        <v>0.14956113992328296</v>
      </c>
      <c r="M61" s="44">
        <v>0</v>
      </c>
    </row>
    <row r="62" spans="1:13" ht="15" customHeight="1" thickBot="1">
      <c r="H62" s="10" t="s">
        <v>65</v>
      </c>
      <c r="I62" s="47">
        <f>(B13-B18)/B19</f>
        <v>2.2891986062717726</v>
      </c>
      <c r="J62" s="47">
        <f>(C13-C18)/C19</f>
        <v>9.1772274354261398</v>
      </c>
      <c r="K62" s="47">
        <f>(D13-D18)/D19</f>
        <v>6.4292856349294478</v>
      </c>
      <c r="L62" s="47">
        <f>(E13-E18)/E19</f>
        <v>8.5162218474054878</v>
      </c>
      <c r="M62" s="47">
        <f>(F13-F18)/F19</f>
        <v>14.848975069252068</v>
      </c>
    </row>
    <row r="63" spans="1:13" ht="15" customHeight="1">
      <c r="H63" s="60"/>
      <c r="I63" s="60"/>
      <c r="J63" s="60"/>
      <c r="K63" s="60"/>
      <c r="L63"/>
    </row>
    <row r="64" spans="1:13" ht="15" customHeight="1">
      <c r="A64" s="16"/>
      <c r="B64" s="24"/>
    </row>
    <row r="66" spans="1:13" ht="11.25"/>
    <row r="67" spans="1:13" ht="11.25">
      <c r="B67" s="4"/>
      <c r="C67" s="4"/>
      <c r="D67" s="4"/>
      <c r="E67" s="4"/>
    </row>
    <row r="68" spans="1:13" s="16" customFormat="1" ht="15" customHeight="1">
      <c r="A68" s="2"/>
      <c r="B68" s="2"/>
      <c r="C68" s="2"/>
      <c r="D68" s="2"/>
      <c r="E68" s="2"/>
      <c r="F68" s="30"/>
      <c r="H68" s="2"/>
      <c r="I68" s="2"/>
      <c r="J68" s="2"/>
      <c r="K68" s="2"/>
      <c r="L68" s="2"/>
      <c r="M68" s="2"/>
    </row>
    <row r="76" spans="1:13" ht="15" customHeight="1" thickBot="1">
      <c r="B76" s="25"/>
      <c r="C76" s="25"/>
      <c r="D76" s="25"/>
      <c r="E76" s="25"/>
    </row>
    <row r="77" spans="1:13" ht="15" customHeight="1" thickBot="1">
      <c r="B77" s="26"/>
      <c r="C77" s="26"/>
      <c r="D77" s="26"/>
      <c r="E77" s="28"/>
      <c r="F77" s="31"/>
    </row>
    <row r="78" spans="1:13" ht="15" customHeight="1">
      <c r="C78" s="27"/>
    </row>
    <row r="80" spans="1:13" ht="15" customHeight="1">
      <c r="D80" s="25"/>
    </row>
  </sheetData>
  <mergeCells count="4">
    <mergeCell ref="A2:B2"/>
    <mergeCell ref="A1:I1"/>
    <mergeCell ref="H2:I2"/>
    <mergeCell ref="H63:K63"/>
  </mergeCells>
  <phoneticPr fontId="3" type="noConversion"/>
  <pageMargins left="0.55118110236220474" right="0.23622047244094491" top="0.27559055118110237" bottom="0.19685039370078741" header="0.19685039370078741" footer="0.19685039370078741"/>
  <pageSetup paperSize="9" scale="52" orientation="landscape" r:id="rId1"/>
  <ignoredErrors>
    <ignoredError sqref="J57:K5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Sheet</vt:lpstr>
      <vt:lpstr>'Summary Sheet'!Print_Area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admin</cp:lastModifiedBy>
  <cp:lastPrinted>2023-03-27T04:17:33Z</cp:lastPrinted>
  <dcterms:created xsi:type="dcterms:W3CDTF">2017-09-19T08:05:47Z</dcterms:created>
  <dcterms:modified xsi:type="dcterms:W3CDTF">2025-11-23T05:44:36Z</dcterms:modified>
</cp:coreProperties>
</file>