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85307D9F-024C-4A5F-B2C3-98640AFCC27C}" xr6:coauthVersionLast="47" xr6:coauthVersionMax="47" xr10:uidLastSave="{00000000-0000-0000-0000-000000000000}"/>
  <bookViews>
    <workbookView xWindow="-110" yWindow="-110" windowWidth="19420" windowHeight="10420" tabRatio="769" firstSheet="1" activeTab="1" xr2:uid="{00000000-000D-0000-FFFF-FFFF00000000}"/>
  </bookViews>
  <sheets>
    <sheet name="Peer Analysis" sheetId="10" state="hidden" r:id="rId1"/>
    <sheet name="Consol" sheetId="1" r:id="rId2"/>
    <sheet name="Peer Sheet" sheetId="11" state="hidden" r:id="rId3"/>
  </sheets>
  <externalReferences>
    <externalReference r:id="rId4"/>
  </externalReferences>
  <definedNames>
    <definedName name="_xlnm.Print_Area" localSheetId="0">'Peer Analysis'!$A$1:$G$51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80" i="1" l="1"/>
  <c r="Y71" i="1"/>
  <c r="Y70" i="1"/>
  <c r="Y65" i="1"/>
  <c r="Y64" i="1"/>
  <c r="Y61" i="1"/>
  <c r="L64" i="1"/>
  <c r="L63" i="1"/>
  <c r="L62" i="1"/>
  <c r="L59" i="1"/>
  <c r="L36" i="1"/>
  <c r="Y50" i="1"/>
  <c r="Y52" i="1" s="1"/>
  <c r="Y46" i="1"/>
  <c r="Y36" i="1"/>
  <c r="Y47" i="1" s="1"/>
  <c r="Y26" i="1"/>
  <c r="Z26" i="1" s="1"/>
  <c r="Y15" i="1"/>
  <c r="Y10" i="1"/>
  <c r="Y6" i="1"/>
  <c r="L54" i="1"/>
  <c r="L56" i="1"/>
  <c r="K50" i="1"/>
  <c r="L50" i="1"/>
  <c r="L27" i="1"/>
  <c r="Y57" i="1" l="1"/>
  <c r="Y13" i="1" s="1"/>
  <c r="Y12" i="1"/>
  <c r="Y56" i="1"/>
  <c r="L30" i="1"/>
  <c r="L31" i="1"/>
  <c r="L14" i="1"/>
  <c r="L22" i="1" s="1"/>
  <c r="L7" i="1"/>
  <c r="Y79" i="1" l="1"/>
  <c r="L26" i="1"/>
  <c r="Y62" i="1"/>
  <c r="L61" i="1"/>
  <c r="S80" i="1"/>
  <c r="T80" i="1"/>
  <c r="X80" i="1"/>
  <c r="W61" i="1" l="1"/>
  <c r="X61" i="1"/>
  <c r="X52" i="1"/>
  <c r="W52" i="1"/>
  <c r="X46" i="1"/>
  <c r="X36" i="1"/>
  <c r="X47" i="1" s="1"/>
  <c r="W36" i="1"/>
  <c r="X26" i="1"/>
  <c r="W23" i="1"/>
  <c r="W26" i="1" s="1"/>
  <c r="X15" i="1"/>
  <c r="W15" i="1"/>
  <c r="X10" i="1"/>
  <c r="W10" i="1"/>
  <c r="W6" i="1"/>
  <c r="W12" i="1" s="1"/>
  <c r="X6" i="1"/>
  <c r="X12" i="1" s="1"/>
  <c r="K63" i="1"/>
  <c r="K62" i="1"/>
  <c r="J55" i="1"/>
  <c r="J56" i="1" s="1"/>
  <c r="K55" i="1"/>
  <c r="J54" i="1"/>
  <c r="K54" i="1"/>
  <c r="K56" i="1" s="1"/>
  <c r="J50" i="1"/>
  <c r="J51" i="1" s="1"/>
  <c r="K6" i="1"/>
  <c r="K43" i="1"/>
  <c r="J43" i="1"/>
  <c r="I43" i="1"/>
  <c r="K42" i="1"/>
  <c r="J42" i="1"/>
  <c r="J14" i="1"/>
  <c r="J22" i="1" s="1"/>
  <c r="J26" i="1" s="1"/>
  <c r="K14" i="1"/>
  <c r="J6" i="1"/>
  <c r="K5" i="1"/>
  <c r="J5" i="1"/>
  <c r="J7" i="1"/>
  <c r="K7" i="1"/>
  <c r="K16" i="1" l="1"/>
  <c r="K15" i="1"/>
  <c r="K22" i="1"/>
  <c r="K26" i="1" s="1"/>
  <c r="J15" i="1"/>
  <c r="T15" i="1"/>
  <c r="V15" i="1"/>
  <c r="S15" i="1"/>
  <c r="X67" i="1" l="1"/>
  <c r="X64" i="1"/>
  <c r="X72" i="1"/>
  <c r="X73" i="1"/>
  <c r="X75" i="1"/>
  <c r="K59" i="1"/>
  <c r="K61" i="1" s="1"/>
  <c r="K64" i="1" s="1"/>
  <c r="X79" i="1" l="1"/>
  <c r="X78" i="1"/>
  <c r="X66" i="1"/>
  <c r="K24" i="1" l="1"/>
  <c r="K27" i="1" s="1"/>
  <c r="X62" i="1" l="1"/>
  <c r="X65" i="1" s="1"/>
  <c r="X70" i="1"/>
  <c r="X71" i="1"/>
  <c r="X57" i="1" l="1"/>
  <c r="X56" i="1"/>
  <c r="J30" i="1"/>
  <c r="K30" i="1"/>
  <c r="X13" i="1" l="1"/>
  <c r="X82" i="1"/>
  <c r="V75" i="1"/>
  <c r="W73" i="1"/>
  <c r="V73" i="1"/>
  <c r="X69" i="1" l="1"/>
  <c r="X83" i="1"/>
  <c r="K31" i="1"/>
  <c r="V23" i="1"/>
  <c r="K32" i="1" l="1"/>
  <c r="K36" i="1"/>
  <c r="X68" i="1"/>
  <c r="V41" i="1"/>
  <c r="V80" i="1" s="1"/>
  <c r="V26" i="1"/>
  <c r="W41" i="1" l="1"/>
  <c r="X74" i="1" l="1"/>
  <c r="X76" i="1" s="1"/>
  <c r="W80" i="1"/>
  <c r="W46" i="1"/>
  <c r="W47" i="1" s="1"/>
  <c r="W74" i="1"/>
  <c r="I7" i="1"/>
  <c r="U36" i="1"/>
  <c r="T36" i="1"/>
  <c r="J59" i="1"/>
  <c r="W67" i="1" l="1"/>
  <c r="W75" i="1"/>
  <c r="W64" i="1" l="1"/>
  <c r="V61" i="1"/>
  <c r="T73" i="1"/>
  <c r="K46" i="1"/>
  <c r="K51" i="1" s="1"/>
  <c r="L46" i="1" s="1"/>
  <c r="L51" i="1" s="1"/>
  <c r="J61" i="1" l="1"/>
  <c r="F55" i="1" l="1"/>
  <c r="I55" i="1"/>
  <c r="J63" i="1"/>
  <c r="W72" i="1"/>
  <c r="V67" i="1"/>
  <c r="V72" i="1"/>
  <c r="U61" i="1"/>
  <c r="V52" i="1"/>
  <c r="X77" i="1"/>
  <c r="V36" i="1"/>
  <c r="V57" i="1" s="1"/>
  <c r="W57" i="1"/>
  <c r="W13" i="1" s="1"/>
  <c r="I14" i="1"/>
  <c r="V64" i="1"/>
  <c r="H43" i="1"/>
  <c r="U64" i="1"/>
  <c r="I61" i="1"/>
  <c r="W76" i="1"/>
  <c r="I6" i="1"/>
  <c r="I63" i="1"/>
  <c r="I54" i="1"/>
  <c r="I50" i="1"/>
  <c r="U63" i="1"/>
  <c r="U72" i="1" s="1"/>
  <c r="V10" i="1"/>
  <c r="I62" i="1" s="1"/>
  <c r="V6" i="1"/>
  <c r="V12" i="1" s="1"/>
  <c r="I42" i="1"/>
  <c r="I30" i="1"/>
  <c r="I5" i="1"/>
  <c r="H14" i="1"/>
  <c r="K17" i="1" s="1"/>
  <c r="D7" i="1"/>
  <c r="E7" i="1"/>
  <c r="F7" i="1"/>
  <c r="G7" i="1"/>
  <c r="H7" i="1"/>
  <c r="C7" i="1"/>
  <c r="U41" i="1"/>
  <c r="U19" i="1"/>
  <c r="U18" i="1"/>
  <c r="U15" i="1" s="1"/>
  <c r="U73" i="1"/>
  <c r="U75" i="1"/>
  <c r="H42" i="1"/>
  <c r="H5" i="1"/>
  <c r="H6" i="1"/>
  <c r="H55" i="1"/>
  <c r="H50" i="1"/>
  <c r="C50" i="1"/>
  <c r="E19" i="11"/>
  <c r="D19" i="11"/>
  <c r="E28" i="11"/>
  <c r="E25" i="11" s="1"/>
  <c r="D28" i="11"/>
  <c r="D25" i="11" s="1"/>
  <c r="E7" i="11"/>
  <c r="D49" i="11"/>
  <c r="D16" i="11"/>
  <c r="E16" i="11"/>
  <c r="D10" i="11"/>
  <c r="E10" i="11"/>
  <c r="I49" i="11"/>
  <c r="H49" i="11"/>
  <c r="G49" i="11"/>
  <c r="F49" i="11"/>
  <c r="C49" i="11"/>
  <c r="B49" i="11"/>
  <c r="K46" i="11"/>
  <c r="J46" i="11"/>
  <c r="I46" i="11"/>
  <c r="H46" i="11"/>
  <c r="G46" i="11"/>
  <c r="F46" i="11"/>
  <c r="E46" i="11"/>
  <c r="D46" i="11"/>
  <c r="C46" i="11"/>
  <c r="B46" i="11"/>
  <c r="K40" i="11"/>
  <c r="J40" i="11"/>
  <c r="I40" i="11"/>
  <c r="H40" i="11"/>
  <c r="G40" i="11"/>
  <c r="F40" i="11"/>
  <c r="E40" i="11"/>
  <c r="D40" i="11"/>
  <c r="C40" i="11"/>
  <c r="B40" i="11"/>
  <c r="K38" i="11"/>
  <c r="K39" i="11" s="1"/>
  <c r="K33" i="11" s="1"/>
  <c r="J38" i="11"/>
  <c r="J39" i="11" s="1"/>
  <c r="J33" i="11" s="1"/>
  <c r="I38" i="11"/>
  <c r="I39" i="11" s="1"/>
  <c r="I33" i="11" s="1"/>
  <c r="H38" i="11"/>
  <c r="H39" i="11" s="1"/>
  <c r="H33" i="11" s="1"/>
  <c r="G38" i="11"/>
  <c r="G39" i="11" s="1"/>
  <c r="G33" i="11" s="1"/>
  <c r="F38" i="11"/>
  <c r="F39" i="11" s="1"/>
  <c r="F33" i="11" s="1"/>
  <c r="E38" i="11"/>
  <c r="D38" i="11"/>
  <c r="C38" i="11"/>
  <c r="C39" i="11" s="1"/>
  <c r="C33" i="11" s="1"/>
  <c r="B38" i="11"/>
  <c r="B39" i="11" s="1"/>
  <c r="B33" i="11" s="1"/>
  <c r="K31" i="11"/>
  <c r="J31" i="11"/>
  <c r="I31" i="11"/>
  <c r="H31" i="11"/>
  <c r="G31" i="11"/>
  <c r="F31" i="11"/>
  <c r="E31" i="11"/>
  <c r="D31" i="11"/>
  <c r="C31" i="11"/>
  <c r="B31" i="11"/>
  <c r="J25" i="11"/>
  <c r="K25" i="11"/>
  <c r="I25" i="11"/>
  <c r="H25" i="11"/>
  <c r="G25" i="11"/>
  <c r="F25" i="11"/>
  <c r="C25" i="11"/>
  <c r="B25" i="11"/>
  <c r="K16" i="11"/>
  <c r="K50" i="11" s="1"/>
  <c r="J16" i="11"/>
  <c r="J50" i="11" s="1"/>
  <c r="I16" i="11"/>
  <c r="I47" i="11" s="1"/>
  <c r="H16" i="11"/>
  <c r="H47" i="11" s="1"/>
  <c r="G16" i="11"/>
  <c r="G48" i="11" s="1"/>
  <c r="F16" i="11"/>
  <c r="F48" i="11" s="1"/>
  <c r="C16" i="11"/>
  <c r="C50" i="11" s="1"/>
  <c r="B16" i="11"/>
  <c r="B50" i="11" s="1"/>
  <c r="K10" i="11"/>
  <c r="J10" i="11"/>
  <c r="I10" i="11"/>
  <c r="H10" i="11"/>
  <c r="G10" i="11"/>
  <c r="F10" i="11"/>
  <c r="C10" i="11"/>
  <c r="B10" i="11"/>
  <c r="K7" i="11"/>
  <c r="J7" i="11"/>
  <c r="I7" i="11"/>
  <c r="H7" i="11"/>
  <c r="G7" i="11"/>
  <c r="F7" i="11"/>
  <c r="C7" i="11"/>
  <c r="B7" i="11"/>
  <c r="K49" i="11"/>
  <c r="J49" i="11"/>
  <c r="E49" i="11"/>
  <c r="I22" i="1" l="1"/>
  <c r="I24" i="1" s="1"/>
  <c r="J16" i="1"/>
  <c r="V74" i="1"/>
  <c r="V76" i="1" s="1"/>
  <c r="U80" i="1"/>
  <c r="W83" i="1"/>
  <c r="J62" i="1"/>
  <c r="J64" i="1" s="1"/>
  <c r="W66" i="1" s="1"/>
  <c r="W78" i="1"/>
  <c r="W56" i="1"/>
  <c r="W82" i="1" s="1"/>
  <c r="V62" i="1"/>
  <c r="V65" i="1" s="1"/>
  <c r="I27" i="1"/>
  <c r="W71" i="1"/>
  <c r="W70" i="1"/>
  <c r="V46" i="1"/>
  <c r="V47" i="1" s="1"/>
  <c r="W62" i="1"/>
  <c r="W65" i="1" s="1"/>
  <c r="E26" i="11"/>
  <c r="E34" i="11" s="1"/>
  <c r="I26" i="11"/>
  <c r="I34" i="11" s="1"/>
  <c r="U74" i="1"/>
  <c r="U76" i="1" s="1"/>
  <c r="U67" i="1"/>
  <c r="I56" i="1"/>
  <c r="V78" i="1"/>
  <c r="I64" i="1"/>
  <c r="V66" i="1" s="1"/>
  <c r="V70" i="1"/>
  <c r="V71" i="1"/>
  <c r="I15" i="1"/>
  <c r="I16" i="1"/>
  <c r="C26" i="11"/>
  <c r="C34" i="11" s="1"/>
  <c r="C41" i="11"/>
  <c r="C47" i="11"/>
  <c r="H15" i="1"/>
  <c r="U26" i="1"/>
  <c r="E39" i="11"/>
  <c r="E33" i="11" s="1"/>
  <c r="D39" i="11"/>
  <c r="D33" i="11" s="1"/>
  <c r="D26" i="11"/>
  <c r="D34" i="11" s="1"/>
  <c r="E41" i="11"/>
  <c r="E47" i="11"/>
  <c r="D7" i="11"/>
  <c r="B26" i="11"/>
  <c r="B34" i="11" s="1"/>
  <c r="B48" i="11"/>
  <c r="B41" i="11"/>
  <c r="J26" i="11"/>
  <c r="J34" i="11" s="1"/>
  <c r="K47" i="11"/>
  <c r="K26" i="11"/>
  <c r="K34" i="11" s="1"/>
  <c r="J48" i="11"/>
  <c r="J47" i="11"/>
  <c r="K48" i="11"/>
  <c r="G41" i="11"/>
  <c r="E48" i="11"/>
  <c r="F26" i="11"/>
  <c r="F34" i="11" s="1"/>
  <c r="J41" i="11"/>
  <c r="B47" i="11"/>
  <c r="H48" i="11"/>
  <c r="D50" i="11"/>
  <c r="E50" i="11"/>
  <c r="C48" i="11"/>
  <c r="G26" i="11"/>
  <c r="G34" i="11" s="1"/>
  <c r="K41" i="11"/>
  <c r="I48" i="11"/>
  <c r="H26" i="11"/>
  <c r="H34" i="11" s="1"/>
  <c r="D41" i="11"/>
  <c r="D47" i="11"/>
  <c r="F50" i="11"/>
  <c r="G50" i="11"/>
  <c r="F41" i="11"/>
  <c r="F47" i="11"/>
  <c r="D48" i="11"/>
  <c r="H50" i="11"/>
  <c r="I50" i="11"/>
  <c r="H41" i="11"/>
  <c r="G47" i="11"/>
  <c r="I41" i="11"/>
  <c r="V56" i="1" l="1"/>
  <c r="V82" i="1" s="1"/>
  <c r="J24" i="1"/>
  <c r="J27" i="1" s="1"/>
  <c r="V13" i="1"/>
  <c r="W77" i="1"/>
  <c r="W69" i="1"/>
  <c r="W79" i="1"/>
  <c r="V79" i="1"/>
  <c r="I26" i="1"/>
  <c r="P73" i="1"/>
  <c r="D55" i="1"/>
  <c r="E55" i="1"/>
  <c r="G55" i="1"/>
  <c r="C55" i="1"/>
  <c r="Q18" i="1"/>
  <c r="P18" i="1"/>
  <c r="O6" i="1"/>
  <c r="P6" i="1"/>
  <c r="Q6" i="1"/>
  <c r="R6" i="1"/>
  <c r="S6" i="1"/>
  <c r="T6" i="1"/>
  <c r="U6" i="1"/>
  <c r="U62" i="1" s="1"/>
  <c r="B14" i="1"/>
  <c r="V69" i="1" l="1"/>
  <c r="V83" i="1"/>
  <c r="J33" i="1"/>
  <c r="K33" i="1"/>
  <c r="J31" i="1"/>
  <c r="I31" i="1"/>
  <c r="H63" i="1"/>
  <c r="H61" i="1"/>
  <c r="H54" i="1"/>
  <c r="J36" i="1" l="1"/>
  <c r="J32" i="1"/>
  <c r="W68" i="1"/>
  <c r="V68" i="1"/>
  <c r="I36" i="1"/>
  <c r="I32" i="1"/>
  <c r="H56" i="1"/>
  <c r="H30" i="1"/>
  <c r="H22" i="1"/>
  <c r="J37" i="1" l="1"/>
  <c r="K37" i="1"/>
  <c r="U79" i="1"/>
  <c r="H24" i="1"/>
  <c r="H27" i="1" s="1"/>
  <c r="I33" i="1" s="1"/>
  <c r="H26" i="1"/>
  <c r="H31" i="1" l="1"/>
  <c r="K34" i="1" s="1"/>
  <c r="H36" i="1" l="1"/>
  <c r="K38" i="1" s="1"/>
  <c r="H32" i="1"/>
  <c r="U68" i="1"/>
  <c r="U52" i="1"/>
  <c r="U46" i="1"/>
  <c r="U47" i="1" s="1"/>
  <c r="U10" i="1"/>
  <c r="I37" i="1" l="1"/>
  <c r="U71" i="1"/>
  <c r="U78" i="1"/>
  <c r="U70" i="1"/>
  <c r="H62" i="1"/>
  <c r="H64" i="1" s="1"/>
  <c r="U66" i="1" s="1"/>
  <c r="U12" i="1"/>
  <c r="U65" i="1"/>
  <c r="V77" i="1"/>
  <c r="U57" i="1"/>
  <c r="U13" i="1" s="1"/>
  <c r="U56" i="1"/>
  <c r="U82" i="1" s="1"/>
  <c r="U83" i="1" l="1"/>
  <c r="C6" i="10"/>
  <c r="D6" i="10"/>
  <c r="E6" i="10"/>
  <c r="F6" i="10"/>
  <c r="B7" i="10"/>
  <c r="C7" i="10"/>
  <c r="D7" i="10"/>
  <c r="E7" i="10"/>
  <c r="F7" i="10"/>
  <c r="B8" i="10"/>
  <c r="C8" i="10"/>
  <c r="D8" i="10"/>
  <c r="E8" i="10"/>
  <c r="F8" i="10"/>
  <c r="B9" i="10"/>
  <c r="C9" i="10"/>
  <c r="D9" i="10"/>
  <c r="E9" i="10"/>
  <c r="F9" i="10"/>
  <c r="B11" i="10"/>
  <c r="C11" i="10"/>
  <c r="D11" i="10"/>
  <c r="E11" i="10"/>
  <c r="F11" i="10"/>
  <c r="B12" i="10"/>
  <c r="C12" i="10"/>
  <c r="D12" i="10"/>
  <c r="E12" i="10"/>
  <c r="F12" i="10"/>
  <c r="B14" i="10"/>
  <c r="C14" i="10"/>
  <c r="D14" i="10"/>
  <c r="E14" i="10"/>
  <c r="F14" i="10"/>
  <c r="B18" i="10"/>
  <c r="B38" i="10" s="1"/>
  <c r="C18" i="10"/>
  <c r="C38" i="10" s="1"/>
  <c r="D18" i="10"/>
  <c r="D38" i="10" s="1"/>
  <c r="E18" i="10"/>
  <c r="E38" i="10" s="1"/>
  <c r="F18" i="10"/>
  <c r="F38" i="10" s="1"/>
  <c r="B20" i="10"/>
  <c r="C20" i="10"/>
  <c r="D20" i="10"/>
  <c r="E20" i="10"/>
  <c r="F20" i="10"/>
  <c r="B21" i="10"/>
  <c r="C21" i="10"/>
  <c r="D21" i="10"/>
  <c r="E21" i="10"/>
  <c r="F21" i="10"/>
  <c r="B27" i="10"/>
  <c r="C27" i="10"/>
  <c r="D27" i="10"/>
  <c r="E27" i="10"/>
  <c r="F27" i="10"/>
  <c r="B28" i="10"/>
  <c r="C28" i="10"/>
  <c r="D28" i="10"/>
  <c r="E28" i="10"/>
  <c r="F28" i="10"/>
  <c r="B29" i="10"/>
  <c r="C29" i="10"/>
  <c r="D29" i="10"/>
  <c r="E29" i="10"/>
  <c r="F29" i="10"/>
  <c r="B31" i="10"/>
  <c r="C31" i="10"/>
  <c r="D31" i="10"/>
  <c r="E31" i="10"/>
  <c r="F31" i="10"/>
  <c r="B32" i="10"/>
  <c r="C32" i="10"/>
  <c r="D32" i="10"/>
  <c r="E32" i="10"/>
  <c r="F32" i="10"/>
  <c r="B33" i="10"/>
  <c r="C33" i="10"/>
  <c r="D33" i="10"/>
  <c r="E33" i="10"/>
  <c r="F33" i="10"/>
  <c r="B34" i="10"/>
  <c r="C34" i="10"/>
  <c r="D34" i="10"/>
  <c r="E34" i="10"/>
  <c r="F34" i="10"/>
  <c r="C37" i="10"/>
  <c r="D37" i="10"/>
  <c r="E37" i="10"/>
  <c r="F37" i="10"/>
  <c r="B39" i="10"/>
  <c r="C39" i="10"/>
  <c r="D39" i="10"/>
  <c r="E39" i="10"/>
  <c r="F39" i="10"/>
  <c r="B40" i="10"/>
  <c r="C40" i="10"/>
  <c r="D40" i="10"/>
  <c r="E40" i="10"/>
  <c r="F40" i="10"/>
  <c r="B41" i="10"/>
  <c r="C41" i="10"/>
  <c r="D41" i="10"/>
  <c r="E41" i="10"/>
  <c r="F41" i="10"/>
  <c r="B42" i="10"/>
  <c r="C42" i="10"/>
  <c r="D42" i="10"/>
  <c r="E42" i="10"/>
  <c r="F42" i="10"/>
  <c r="B43" i="10"/>
  <c r="C43" i="10"/>
  <c r="D43" i="10"/>
  <c r="E43" i="10"/>
  <c r="F43" i="10"/>
  <c r="B44" i="10"/>
  <c r="C44" i="10"/>
  <c r="D44" i="10"/>
  <c r="E44" i="10"/>
  <c r="F44" i="10"/>
  <c r="B45" i="10"/>
  <c r="C45" i="10"/>
  <c r="D45" i="10"/>
  <c r="E45" i="10"/>
  <c r="F45" i="10"/>
  <c r="B46" i="10"/>
  <c r="C46" i="10"/>
  <c r="D46" i="10"/>
  <c r="E46" i="10"/>
  <c r="F46" i="10"/>
  <c r="B47" i="10"/>
  <c r="C47" i="10"/>
  <c r="D47" i="10"/>
  <c r="E47" i="10"/>
  <c r="F47" i="10"/>
  <c r="B48" i="10"/>
  <c r="C48" i="10"/>
  <c r="D48" i="10"/>
  <c r="E48" i="10"/>
  <c r="F48" i="10"/>
  <c r="B49" i="10"/>
  <c r="C49" i="10"/>
  <c r="D49" i="10"/>
  <c r="E49" i="10"/>
  <c r="F49" i="10"/>
  <c r="B50" i="10"/>
  <c r="C50" i="10"/>
  <c r="D50" i="10"/>
  <c r="E50" i="10"/>
  <c r="F50" i="10"/>
  <c r="B51" i="10"/>
  <c r="C51" i="10"/>
  <c r="D51" i="10"/>
  <c r="E51" i="10"/>
  <c r="F51" i="10"/>
  <c r="U69" i="1" l="1"/>
  <c r="C13" i="10"/>
  <c r="C10" i="10"/>
  <c r="E10" i="10"/>
  <c r="C19" i="10"/>
  <c r="F10" i="10"/>
  <c r="D10" i="10"/>
  <c r="F13" i="10"/>
  <c r="F19" i="10"/>
  <c r="B19" i="10"/>
  <c r="E19" i="10"/>
  <c r="D13" i="10"/>
  <c r="D19" i="10"/>
  <c r="E13" i="10"/>
  <c r="B37" i="10" l="1"/>
  <c r="B6" i="10" l="1"/>
  <c r="B13" i="10" l="1"/>
  <c r="B10" i="10"/>
  <c r="F30" i="1" l="1"/>
  <c r="T75" i="1"/>
  <c r="T74" i="1"/>
  <c r="T63" i="1"/>
  <c r="T67" i="1"/>
  <c r="G43" i="1"/>
  <c r="G42" i="1"/>
  <c r="G6" i="1"/>
  <c r="G5" i="1"/>
  <c r="T72" i="1" l="1"/>
  <c r="T76" i="1"/>
  <c r="S67" i="1" l="1"/>
  <c r="R67" i="1"/>
  <c r="Q67" i="1"/>
  <c r="P67" i="1"/>
  <c r="R75" i="1" l="1"/>
  <c r="Q75" i="1"/>
  <c r="P75" i="1"/>
  <c r="R74" i="1"/>
  <c r="Q74" i="1"/>
  <c r="P74" i="1"/>
  <c r="S75" i="1"/>
  <c r="S74" i="1"/>
  <c r="P76" i="1" l="1"/>
  <c r="P63" i="1"/>
  <c r="P72" i="1" s="1"/>
  <c r="O63" i="1"/>
  <c r="O72" i="1" s="1"/>
  <c r="Q63" i="1"/>
  <c r="R63" i="1"/>
  <c r="S63" i="1"/>
  <c r="S72" i="1" s="1"/>
  <c r="Q73" i="1"/>
  <c r="R73" i="1"/>
  <c r="R76" i="1" s="1"/>
  <c r="S73" i="1"/>
  <c r="S76" i="1" s="1"/>
  <c r="S61" i="1"/>
  <c r="S64" i="1" s="1"/>
  <c r="R61" i="1"/>
  <c r="R64" i="1" s="1"/>
  <c r="Q61" i="1"/>
  <c r="Q64" i="1" s="1"/>
  <c r="P61" i="1"/>
  <c r="P64" i="1" s="1"/>
  <c r="O61" i="1"/>
  <c r="O64" i="1" s="1"/>
  <c r="T61" i="1"/>
  <c r="T64" i="1" s="1"/>
  <c r="E61" i="1"/>
  <c r="D61" i="1"/>
  <c r="C61" i="1"/>
  <c r="B59" i="1"/>
  <c r="B61" i="1" s="1"/>
  <c r="F61" i="1"/>
  <c r="F54" i="1"/>
  <c r="E54" i="1"/>
  <c r="D54" i="1"/>
  <c r="C54" i="1"/>
  <c r="B54" i="1"/>
  <c r="G54" i="1"/>
  <c r="G61" i="1" l="1"/>
  <c r="Q72" i="1"/>
  <c r="Q76" i="1"/>
  <c r="R72" i="1"/>
  <c r="G50" i="1"/>
  <c r="E50" i="1"/>
  <c r="D50" i="1"/>
  <c r="B50" i="1"/>
  <c r="F43" i="1"/>
  <c r="E43" i="1"/>
  <c r="E6" i="1"/>
  <c r="F6" i="1"/>
  <c r="F50" i="1" l="1"/>
  <c r="G56" i="1" l="1"/>
  <c r="F56" i="1"/>
  <c r="E56" i="1"/>
  <c r="D56" i="1"/>
  <c r="C56" i="1"/>
  <c r="B56" i="1"/>
  <c r="B51" i="1"/>
  <c r="B15" i="1"/>
  <c r="C5" i="1"/>
  <c r="E42" i="1"/>
  <c r="D42" i="1"/>
  <c r="F42" i="1"/>
  <c r="E5" i="1"/>
  <c r="D5" i="1"/>
  <c r="F5" i="1"/>
  <c r="F14" i="1"/>
  <c r="E14" i="1"/>
  <c r="H17" i="1" s="1"/>
  <c r="D14" i="1"/>
  <c r="C14" i="1"/>
  <c r="C22" i="1" s="1"/>
  <c r="C24" i="1" s="1"/>
  <c r="C27" i="1" s="1"/>
  <c r="I17" i="1" l="1"/>
  <c r="F22" i="1"/>
  <c r="S79" i="1" s="1"/>
  <c r="C51" i="1"/>
  <c r="D46" i="1" s="1"/>
  <c r="B63" i="1"/>
  <c r="P79" i="1"/>
  <c r="D15" i="1"/>
  <c r="E15" i="1"/>
  <c r="E17" i="1"/>
  <c r="F15" i="1"/>
  <c r="F17" i="1"/>
  <c r="B22" i="1"/>
  <c r="C15" i="1"/>
  <c r="C16" i="1" s="1"/>
  <c r="F16" i="1"/>
  <c r="D22" i="1"/>
  <c r="D24" i="1" s="1"/>
  <c r="D27" i="1" s="1"/>
  <c r="E22" i="1"/>
  <c r="E24" i="1" s="1"/>
  <c r="E27" i="1" s="1"/>
  <c r="F24" i="1" l="1"/>
  <c r="F27" i="1" s="1"/>
  <c r="D51" i="1"/>
  <c r="E46" i="1" s="1"/>
  <c r="C63" i="1"/>
  <c r="E16" i="1"/>
  <c r="Q79" i="1"/>
  <c r="O79" i="1"/>
  <c r="R79" i="1"/>
  <c r="D16" i="1"/>
  <c r="E51" i="1" l="1"/>
  <c r="F46" i="1" s="1"/>
  <c r="D63" i="1"/>
  <c r="G14" i="1"/>
  <c r="J17" i="1" s="1"/>
  <c r="H16" i="1" l="1"/>
  <c r="F51" i="1"/>
  <c r="G46" i="1" s="1"/>
  <c r="E63" i="1"/>
  <c r="G22" i="1"/>
  <c r="G17" i="1"/>
  <c r="G16" i="1"/>
  <c r="C26" i="1"/>
  <c r="B27" i="1"/>
  <c r="B32" i="1" s="1"/>
  <c r="B26" i="1"/>
  <c r="G15" i="1"/>
  <c r="O10" i="1"/>
  <c r="P10" i="1"/>
  <c r="Q10" i="1"/>
  <c r="G26" i="1" l="1"/>
  <c r="G24" i="1"/>
  <c r="G27" i="1" s="1"/>
  <c r="G51" i="1"/>
  <c r="H46" i="1" s="1"/>
  <c r="H51" i="1" s="1"/>
  <c r="I46" i="1" s="1"/>
  <c r="I51" i="1" s="1"/>
  <c r="F63" i="1"/>
  <c r="T79" i="1"/>
  <c r="B30" i="1"/>
  <c r="B31" i="1" s="1"/>
  <c r="G30" i="1"/>
  <c r="C30" i="1"/>
  <c r="C31" i="1" s="1"/>
  <c r="C62" i="1"/>
  <c r="C64" i="1" s="1"/>
  <c r="P66" i="1" s="1"/>
  <c r="P78" i="1"/>
  <c r="B62" i="1"/>
  <c r="B64" i="1" s="1"/>
  <c r="O66" i="1" s="1"/>
  <c r="O78" i="1"/>
  <c r="D62" i="1"/>
  <c r="D64" i="1" s="1"/>
  <c r="Q66" i="1" s="1"/>
  <c r="Q78" i="1"/>
  <c r="B36" i="1"/>
  <c r="H33" i="1" l="1"/>
  <c r="G31" i="1"/>
  <c r="J34" i="1" s="1"/>
  <c r="G63" i="1"/>
  <c r="C32" i="1"/>
  <c r="C33" i="1" s="1"/>
  <c r="C36" i="1"/>
  <c r="C37" i="1" s="1"/>
  <c r="G32" i="1" l="1"/>
  <c r="G36" i="1"/>
  <c r="J38" i="1" s="1"/>
  <c r="Q52" i="1"/>
  <c r="P52" i="1"/>
  <c r="O52" i="1"/>
  <c r="O12" i="1" s="1"/>
  <c r="Q36" i="1"/>
  <c r="P36" i="1"/>
  <c r="O36" i="1"/>
  <c r="Q46" i="1"/>
  <c r="P46" i="1"/>
  <c r="O46" i="1"/>
  <c r="Q26" i="1"/>
  <c r="P26" i="1"/>
  <c r="O26" i="1"/>
  <c r="P68" i="1"/>
  <c r="H37" i="1" l="1"/>
  <c r="P57" i="1"/>
  <c r="P13" i="1" s="1"/>
  <c r="P69" i="1" s="1"/>
  <c r="Q57" i="1"/>
  <c r="P56" i="1"/>
  <c r="Q56" i="1"/>
  <c r="O47" i="1"/>
  <c r="Q62" i="1"/>
  <c r="Q65" i="1" s="1"/>
  <c r="Q70" i="1"/>
  <c r="Q71" i="1"/>
  <c r="O62" i="1"/>
  <c r="O65" i="1" s="1"/>
  <c r="O71" i="1"/>
  <c r="O70" i="1"/>
  <c r="O68" i="1"/>
  <c r="P62" i="1"/>
  <c r="P65" i="1" s="1"/>
  <c r="P70" i="1"/>
  <c r="P71" i="1"/>
  <c r="P47" i="1"/>
  <c r="Q47" i="1"/>
  <c r="E34" i="1"/>
  <c r="E26" i="1"/>
  <c r="G34" i="1"/>
  <c r="D26" i="1"/>
  <c r="F26" i="1"/>
  <c r="Q12" i="1"/>
  <c r="P12" i="1"/>
  <c r="O57" i="1"/>
  <c r="O13" i="1" s="1"/>
  <c r="O69" i="1" s="1"/>
  <c r="O56" i="1"/>
  <c r="T46" i="1"/>
  <c r="T47" i="1" s="1"/>
  <c r="T26" i="1"/>
  <c r="T52" i="1" s="1"/>
  <c r="T10" i="1"/>
  <c r="T62" i="1"/>
  <c r="F31" i="1" l="1"/>
  <c r="I34" i="1" s="1"/>
  <c r="T56" i="1"/>
  <c r="T12" i="1"/>
  <c r="T68" i="1"/>
  <c r="T57" i="1"/>
  <c r="T13" i="1" s="1"/>
  <c r="T69" i="1" s="1"/>
  <c r="Q77" i="1"/>
  <c r="G33" i="1"/>
  <c r="T78" i="1"/>
  <c r="G62" i="1"/>
  <c r="G64" i="1" s="1"/>
  <c r="T66" i="1" s="1"/>
  <c r="T71" i="1"/>
  <c r="T70" i="1"/>
  <c r="T65" i="1"/>
  <c r="E30" i="1"/>
  <c r="E31" i="1" s="1"/>
  <c r="H34" i="1" s="1"/>
  <c r="U77" i="1"/>
  <c r="P77" i="1"/>
  <c r="F33" i="1"/>
  <c r="F34" i="1"/>
  <c r="Q82" i="1"/>
  <c r="P83" i="1"/>
  <c r="P82" i="1"/>
  <c r="Q13" i="1"/>
  <c r="O82" i="1"/>
  <c r="O83" i="1"/>
  <c r="S36" i="1"/>
  <c r="R36" i="1"/>
  <c r="R26" i="1"/>
  <c r="S26" i="1"/>
  <c r="F36" i="1" l="1"/>
  <c r="I38" i="1" s="1"/>
  <c r="F32" i="1"/>
  <c r="S57" i="1"/>
  <c r="R57" i="1"/>
  <c r="E32" i="1"/>
  <c r="E36" i="1"/>
  <c r="H38" i="1" s="1"/>
  <c r="D30" i="1"/>
  <c r="D31" i="1" s="1"/>
  <c r="Q83" i="1"/>
  <c r="Q69" i="1"/>
  <c r="T83" i="1"/>
  <c r="T82" i="1"/>
  <c r="S10" i="1"/>
  <c r="R10" i="1"/>
  <c r="F38" i="1" l="1"/>
  <c r="G37" i="1"/>
  <c r="F37" i="1"/>
  <c r="E38" i="1"/>
  <c r="D32" i="1"/>
  <c r="D33" i="1" s="1"/>
  <c r="Q68" i="1"/>
  <c r="D36" i="1"/>
  <c r="E62" i="1"/>
  <c r="E64" i="1" s="1"/>
  <c r="R66" i="1" s="1"/>
  <c r="R78" i="1"/>
  <c r="F62" i="1"/>
  <c r="F64" i="1" s="1"/>
  <c r="S66" i="1" s="1"/>
  <c r="S78" i="1"/>
  <c r="R46" i="1"/>
  <c r="S46" i="1"/>
  <c r="R52" i="1"/>
  <c r="S52" i="1"/>
  <c r="S68" i="1"/>
  <c r="R68" i="1"/>
  <c r="R56" i="1" l="1"/>
  <c r="R82" i="1" s="1"/>
  <c r="E33" i="1"/>
  <c r="G38" i="1"/>
  <c r="D37" i="1"/>
  <c r="E37" i="1"/>
  <c r="R70" i="1"/>
  <c r="S56" i="1"/>
  <c r="S82" i="1" s="1"/>
  <c r="S70" i="1"/>
  <c r="R71" i="1"/>
  <c r="S71" i="1"/>
  <c r="R62" i="1"/>
  <c r="R65" i="1" s="1"/>
  <c r="S62" i="1"/>
  <c r="S65" i="1" s="1"/>
  <c r="S13" i="1"/>
  <c r="S69" i="1" s="1"/>
  <c r="S47" i="1"/>
  <c r="T77" i="1" s="1"/>
  <c r="R13" i="1"/>
  <c r="R69" i="1" s="1"/>
  <c r="R47" i="1"/>
  <c r="R12" i="1"/>
  <c r="S12" i="1"/>
  <c r="S83" i="1" l="1"/>
  <c r="S77" i="1"/>
  <c r="R77" i="1"/>
  <c r="R83" i="1"/>
</calcChain>
</file>

<file path=xl/sharedStrings.xml><?xml version="1.0" encoding="utf-8"?>
<sst xmlns="http://schemas.openxmlformats.org/spreadsheetml/2006/main" count="338" uniqueCount="196">
  <si>
    <t>March Year Ended (INR Mn)</t>
  </si>
  <si>
    <t>FY19</t>
  </si>
  <si>
    <t>FY20</t>
  </si>
  <si>
    <t>Share Capital</t>
  </si>
  <si>
    <t>Networth/Shareholders' Fund/ Book Value</t>
  </si>
  <si>
    <t>Long Term Debt</t>
  </si>
  <si>
    <t>Short Term Debt</t>
  </si>
  <si>
    <t>Property, Plant and Equipment</t>
  </si>
  <si>
    <t>Capital work-in-progress</t>
  </si>
  <si>
    <t>Financial assets</t>
  </si>
  <si>
    <t>Other financial assets</t>
  </si>
  <si>
    <t>Other non-current assets</t>
  </si>
  <si>
    <t>Inventories</t>
  </si>
  <si>
    <t>Trade Receivable</t>
  </si>
  <si>
    <t>Cash and cash equivalents</t>
  </si>
  <si>
    <t>Other bank balances</t>
  </si>
  <si>
    <t>Other Current Assets</t>
  </si>
  <si>
    <t>Trade Payables</t>
  </si>
  <si>
    <t>Current Tax Liabilities (Net)</t>
  </si>
  <si>
    <t>NET CURRENT ASSETS</t>
  </si>
  <si>
    <t>TOTAL ASSETS</t>
  </si>
  <si>
    <t>TOTAL LIABILITIES</t>
  </si>
  <si>
    <t>Total Loans</t>
  </si>
  <si>
    <t>Other Non Current liabilities</t>
  </si>
  <si>
    <t>Capital Employed (Asset)</t>
  </si>
  <si>
    <t>Capital Employed (Liabilities)</t>
  </si>
  <si>
    <t>Other Intangible Assets</t>
  </si>
  <si>
    <t>Loans</t>
  </si>
  <si>
    <t>Provisions</t>
  </si>
  <si>
    <t>Other Financial Liabilities</t>
  </si>
  <si>
    <t>Other Current Liabilities</t>
  </si>
  <si>
    <t>Check I</t>
  </si>
  <si>
    <t>Check II</t>
  </si>
  <si>
    <t>FY18</t>
  </si>
  <si>
    <t>FY16</t>
  </si>
  <si>
    <t>FY17</t>
  </si>
  <si>
    <t>Growth (%)</t>
  </si>
  <si>
    <t>CAGR (%) - 3 Years</t>
  </si>
  <si>
    <t>Expenditure</t>
  </si>
  <si>
    <t>Cost of Materials Consumed</t>
  </si>
  <si>
    <t>Employee Benefit Expense</t>
  </si>
  <si>
    <t>Other Expenses</t>
  </si>
  <si>
    <t>EBITDA</t>
  </si>
  <si>
    <t>EBITDA margin (%)</t>
  </si>
  <si>
    <t>Other Income</t>
  </si>
  <si>
    <t>Depreciation</t>
  </si>
  <si>
    <t>Tax</t>
  </si>
  <si>
    <t>Effective tax rate (%)</t>
  </si>
  <si>
    <t>PAT margin (%)</t>
  </si>
  <si>
    <t>Other Comprehensive Income</t>
  </si>
  <si>
    <t>EPS</t>
  </si>
  <si>
    <t>FY21</t>
  </si>
  <si>
    <t>-</t>
  </si>
  <si>
    <t>Changes in Inventories of FG, SIT and WIP</t>
  </si>
  <si>
    <t>Finance Cost</t>
  </si>
  <si>
    <t>Total  Comprehensive Income</t>
  </si>
  <si>
    <t>Basic</t>
  </si>
  <si>
    <t>Diluted</t>
  </si>
  <si>
    <t>Excise Duty</t>
  </si>
  <si>
    <t>CASH FLOW STATEMENT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</si>
  <si>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</si>
  <si>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</si>
  <si>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</si>
  <si>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</si>
  <si>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</si>
  <si>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</si>
  <si>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</si>
  <si>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</si>
  <si>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</si>
  <si>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</si>
  <si>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</si>
  <si>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Total Debt</t>
  </si>
  <si>
    <t>Cash</t>
  </si>
  <si>
    <t>Market Cap (INR Mn)</t>
  </si>
  <si>
    <t>Enterprise Value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</si>
  <si>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</si>
  <si>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</si>
  <si>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</si>
  <si>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</si>
  <si>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</si>
  <si>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</si>
  <si>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</si>
  <si>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</si>
  <si>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</si>
  <si>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</si>
  <si>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</si>
  <si>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</si>
  <si>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</si>
  <si>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</si>
  <si>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</si>
  <si>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</si>
  <si>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</si>
  <si>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</si>
  <si>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</si>
  <si>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Exceptional Item</t>
  </si>
  <si>
    <t>Fixed Asset Tunover</t>
  </si>
  <si>
    <t>PAT from Continuing Operations</t>
  </si>
  <si>
    <t>PBT from Discontinuing Operations</t>
  </si>
  <si>
    <t>PAT from Discontinuing Operations</t>
  </si>
  <si>
    <t>Net Profit for the Year</t>
  </si>
  <si>
    <t>Other Advances rcvd against assets held for sale</t>
  </si>
  <si>
    <t>PROPERTY, PLANT &amp; EQUIPMENT HELD FOR SALE</t>
  </si>
  <si>
    <t>Income Statement</t>
  </si>
  <si>
    <t>Kriti</t>
  </si>
  <si>
    <t>Prince</t>
  </si>
  <si>
    <t>Apollo</t>
  </si>
  <si>
    <t>Finolex</t>
  </si>
  <si>
    <t>Astral</t>
  </si>
  <si>
    <t>Supreme</t>
  </si>
  <si>
    <t>Market Cap</t>
  </si>
  <si>
    <t>Interest Coverage Ratio</t>
  </si>
  <si>
    <t>No. of Shares (in Mn)</t>
  </si>
  <si>
    <t>Face Value per share (INR)</t>
  </si>
  <si>
    <t>Interest Cost (%)</t>
  </si>
  <si>
    <t>Net Debt/Equity</t>
  </si>
  <si>
    <t>Gross Debt/Equity</t>
  </si>
  <si>
    <t>Cash Conversion Cycle</t>
  </si>
  <si>
    <t>Payable days</t>
  </si>
  <si>
    <t>Receivable days</t>
  </si>
  <si>
    <t>Fixed Asset Turnover</t>
  </si>
  <si>
    <t>ROCE</t>
  </si>
  <si>
    <t>ROE</t>
  </si>
  <si>
    <t>Book Value per Share</t>
  </si>
  <si>
    <t>Book Value</t>
  </si>
  <si>
    <t>OPERATIONAL RATIOS COMPARISION</t>
  </si>
  <si>
    <t>EV/ EBITDA</t>
  </si>
  <si>
    <t>Price:Book Value</t>
  </si>
  <si>
    <t>Stock P:E</t>
  </si>
  <si>
    <t>CFO</t>
  </si>
  <si>
    <t>Cash Flow</t>
  </si>
  <si>
    <t>Short Term</t>
  </si>
  <si>
    <t>Long Term</t>
  </si>
  <si>
    <t>Total Networth</t>
  </si>
  <si>
    <t>Balance Sheet Comparision</t>
  </si>
  <si>
    <t>PAT Margin (%)</t>
  </si>
  <si>
    <t>3 Years CAGR (%)</t>
  </si>
  <si>
    <t>PAT</t>
  </si>
  <si>
    <t>EBITDA Margin (%)</t>
  </si>
  <si>
    <t>Operating Revenue</t>
  </si>
  <si>
    <t>P&amp;L Comparision</t>
  </si>
  <si>
    <t>INR Mn</t>
  </si>
  <si>
    <t>Peer Comparison Analysis - KRITI INDUSTRIES (INDIA) LIMITED</t>
  </si>
  <si>
    <t>FY21 Consol</t>
  </si>
  <si>
    <t>CMP (As on 31.03.2021)</t>
  </si>
  <si>
    <t>Purchase of Trade Goods</t>
  </si>
  <si>
    <t>Long Term Provision</t>
  </si>
  <si>
    <t>Other Equity</t>
  </si>
  <si>
    <t>Other Financial Assets</t>
  </si>
  <si>
    <t>Bharat Wire Ropes Ltd.</t>
  </si>
  <si>
    <t>Deferred Tax Asset (Net)</t>
  </si>
  <si>
    <t>Deferred Tax Liability (Net)</t>
  </si>
  <si>
    <t>Consolidated Figures in INR Mn.</t>
  </si>
  <si>
    <t>FY22</t>
  </si>
  <si>
    <t>Net Sales</t>
  </si>
  <si>
    <t>CFI</t>
  </si>
  <si>
    <t>No. of shares</t>
  </si>
  <si>
    <t>Valuation Comparison</t>
  </si>
  <si>
    <t>Stock P/E</t>
  </si>
  <si>
    <t>Price/Book Value</t>
  </si>
  <si>
    <t>Operational Ratios Comparison</t>
  </si>
  <si>
    <t>CMP</t>
  </si>
  <si>
    <t xml:space="preserve">Book Value </t>
  </si>
  <si>
    <t>Asset Turnover</t>
  </si>
  <si>
    <t>Screener.in</t>
  </si>
  <si>
    <t>BWR</t>
  </si>
  <si>
    <t>Usha Martin</t>
  </si>
  <si>
    <t>Bedmutha Industries</t>
  </si>
  <si>
    <t>D P Wires</t>
  </si>
  <si>
    <t>Shree Steel Wire Ropes</t>
  </si>
  <si>
    <t>Intangible Assets under development</t>
  </si>
  <si>
    <t>FY23</t>
  </si>
  <si>
    <t xml:space="preserve"> </t>
  </si>
  <si>
    <t>Balance Sheet and Mixed Ratios are as per H1 FY24 Result Updates while P&amp;L Ratio is as per 9M FY24 Result Updates</t>
  </si>
  <si>
    <t>FY24</t>
  </si>
  <si>
    <t>Profit Before share of loss of associate</t>
  </si>
  <si>
    <t>Share of Loss of Associate</t>
  </si>
  <si>
    <t>Profit after share of loss of associate</t>
  </si>
  <si>
    <t>FY25</t>
  </si>
  <si>
    <t>CURRENT ASSETS, LOANS &amp; ADVANCES:</t>
  </si>
  <si>
    <t>CURRENT LIABILITIES &amp; PROVISIONS:</t>
  </si>
  <si>
    <t>NON-CURRENT ASSETS:</t>
  </si>
  <si>
    <t>Consolidated Income Statement</t>
  </si>
  <si>
    <t>Consolidated Balance Sheet</t>
  </si>
  <si>
    <t>Revenue From Operations</t>
  </si>
  <si>
    <t>TOTAL NON-CURRENT ASSETS</t>
  </si>
  <si>
    <t>TOTAL CURRENT ASSETS, LOANS &amp; ADVANCES</t>
  </si>
  <si>
    <t>TOTAL CURRENT LIABILITIES &amp; PROVISIONS</t>
  </si>
  <si>
    <t>TOTAL NON CURRENT LIABILITIES</t>
  </si>
  <si>
    <t>NET Block</t>
  </si>
  <si>
    <t>Current ratio</t>
  </si>
  <si>
    <t>Non Current Liabilities:</t>
  </si>
  <si>
    <t>TTM</t>
  </si>
  <si>
    <t>H1-FY26</t>
  </si>
  <si>
    <t xml:space="preserve"> - </t>
  </si>
  <si>
    <t xml:space="preserve"> -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</si>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</sst>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0.0%"/>
    <numFmt numFmtId="166" formatCode="_ * #,##0_ ;_ * \-#,##0_ ;_ * &quot;-&quot;??_ ;_ @_ "/>
    <numFmt numFmtId="167" formatCode="_(* #,##0.0_);_(* \(#,##0.0\);_(* &quot;-&quot;??_);_(@_)"/>
    <numFmt numFmtId="168" formatCode="_(* #,##0_);_(* \(#,##0\);_(* &quot;-&quot;??_);_(@_)"/>
    <numFmt numFmtId="169" formatCode="0.000%"/>
    <numFmt numFmtId="170" formatCode="_ * #,##0.0000_ ;_ * \-#,##0.0000_ ;_ * &quot;-&quot;??_ ;_ @_ 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8"/>
      <color rgb="FF000000"/>
      <name val="MyFirstFont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6" fillId="0" borderId="0" xfId="0" applyFont="1"/>
    <xf numFmtId="0" fontId="0" fillId="9" borderId="0" xfId="0" applyFill="1" applyAlignment="1">
      <alignment vertical="top"/>
    </xf>
    <xf numFmtId="0" fontId="3" fillId="9" borderId="0" xfId="0" applyFont="1" applyFill="1" applyAlignment="1">
      <alignment vertical="top"/>
    </xf>
    <xf numFmtId="165" fontId="0" fillId="9" borderId="2" xfId="2" applyNumberFormat="1" applyFont="1" applyFill="1" applyBorder="1" applyAlignment="1">
      <alignment vertical="top"/>
    </xf>
    <xf numFmtId="0" fontId="0" fillId="9" borderId="2" xfId="0" applyFill="1" applyBorder="1" applyAlignment="1">
      <alignment vertical="top"/>
    </xf>
    <xf numFmtId="164" fontId="0" fillId="0" borderId="2" xfId="0" applyNumberFormat="1" applyBorder="1" applyAlignment="1">
      <alignment vertical="top"/>
    </xf>
    <xf numFmtId="167" fontId="0" fillId="0" borderId="2" xfId="0" applyNumberFormat="1" applyBorder="1" applyAlignment="1">
      <alignment vertical="top"/>
    </xf>
    <xf numFmtId="168" fontId="0" fillId="0" borderId="2" xfId="0" applyNumberFormat="1" applyBorder="1" applyAlignment="1">
      <alignment vertical="top"/>
    </xf>
    <xf numFmtId="168" fontId="0" fillId="8" borderId="2" xfId="0" applyNumberFormat="1" applyFill="1" applyBorder="1" applyAlignment="1">
      <alignment vertical="top"/>
    </xf>
    <xf numFmtId="0" fontId="2" fillId="9" borderId="2" xfId="0" applyFont="1" applyFill="1" applyBorder="1" applyAlignment="1">
      <alignment vertical="top"/>
    </xf>
    <xf numFmtId="0" fontId="2" fillId="0" borderId="2" xfId="0" applyFont="1" applyBorder="1" applyAlignment="1">
      <alignment vertical="top"/>
    </xf>
    <xf numFmtId="0" fontId="3" fillId="9" borderId="2" xfId="0" applyFont="1" applyFill="1" applyBorder="1" applyAlignment="1">
      <alignment vertical="top"/>
    </xf>
    <xf numFmtId="165" fontId="0" fillId="9" borderId="2" xfId="0" applyNumberFormat="1" applyFill="1" applyBorder="1" applyAlignment="1">
      <alignment vertical="top"/>
    </xf>
    <xf numFmtId="165" fontId="0" fillId="0" borderId="2" xfId="0" applyNumberFormat="1" applyBorder="1" applyAlignment="1">
      <alignment vertical="top"/>
    </xf>
    <xf numFmtId="0" fontId="2" fillId="9" borderId="0" xfId="0" applyFont="1" applyFill="1" applyAlignment="1">
      <alignment vertical="top"/>
    </xf>
    <xf numFmtId="43" fontId="2" fillId="9" borderId="2" xfId="3" applyFont="1" applyFill="1" applyBorder="1" applyAlignment="1">
      <alignment vertical="top"/>
    </xf>
    <xf numFmtId="43" fontId="2" fillId="0" borderId="2" xfId="3" applyFont="1" applyFill="1" applyBorder="1" applyAlignment="1">
      <alignment vertical="top"/>
    </xf>
    <xf numFmtId="166" fontId="0" fillId="0" borderId="2" xfId="3" applyNumberFormat="1" applyFont="1" applyFill="1" applyBorder="1" applyAlignment="1">
      <alignment vertical="top"/>
    </xf>
    <xf numFmtId="0" fontId="3" fillId="0" borderId="2" xfId="0" applyFont="1" applyBorder="1" applyAlignment="1">
      <alignment vertical="top"/>
    </xf>
    <xf numFmtId="164" fontId="1" fillId="0" borderId="2" xfId="5" applyFont="1" applyFill="1" applyBorder="1" applyAlignment="1">
      <alignment vertical="top"/>
    </xf>
    <xf numFmtId="0" fontId="0" fillId="8" borderId="2" xfId="0" applyFill="1" applyBorder="1" applyAlignment="1">
      <alignment vertical="top"/>
    </xf>
    <xf numFmtId="164" fontId="0" fillId="0" borderId="2" xfId="5" applyFont="1" applyFill="1" applyBorder="1" applyAlignment="1">
      <alignment vertical="top"/>
    </xf>
    <xf numFmtId="0" fontId="0" fillId="9" borderId="2" xfId="0" applyFill="1" applyBorder="1" applyAlignment="1">
      <alignment horizontal="right" vertical="top"/>
    </xf>
    <xf numFmtId="164" fontId="2" fillId="0" borderId="2" xfId="0" applyNumberFormat="1" applyFont="1" applyBorder="1" applyAlignment="1">
      <alignment vertical="top"/>
    </xf>
    <xf numFmtId="10" fontId="2" fillId="9" borderId="2" xfId="2" applyNumberFormat="1" applyFont="1" applyFill="1" applyBorder="1" applyAlignment="1">
      <alignment vertical="top"/>
    </xf>
    <xf numFmtId="10" fontId="2" fillId="0" borderId="2" xfId="2" applyNumberFormat="1" applyFont="1" applyFill="1" applyBorder="1" applyAlignment="1">
      <alignment vertical="top"/>
    </xf>
    <xf numFmtId="165" fontId="3" fillId="9" borderId="2" xfId="2" applyNumberFormat="1" applyFont="1" applyFill="1" applyBorder="1" applyAlignment="1">
      <alignment vertical="top"/>
    </xf>
    <xf numFmtId="165" fontId="3" fillId="0" borderId="2" xfId="2" applyNumberFormat="1" applyFont="1" applyFill="1" applyBorder="1" applyAlignment="1">
      <alignment vertical="top"/>
    </xf>
    <xf numFmtId="164" fontId="2" fillId="9" borderId="2" xfId="0" applyNumberFormat="1" applyFont="1" applyFill="1" applyBorder="1" applyAlignment="1">
      <alignment vertical="top"/>
    </xf>
    <xf numFmtId="164" fontId="2" fillId="9" borderId="2" xfId="3" applyNumberFormat="1" applyFont="1" applyFill="1" applyBorder="1" applyAlignment="1">
      <alignment vertical="top"/>
    </xf>
    <xf numFmtId="164" fontId="2" fillId="0" borderId="2" xfId="3" applyNumberFormat="1" applyFont="1" applyFill="1" applyBorder="1" applyAlignment="1">
      <alignment vertical="top"/>
    </xf>
    <xf numFmtId="164" fontId="0" fillId="9" borderId="2" xfId="3" applyNumberFormat="1" applyFont="1" applyFill="1" applyBorder="1" applyAlignment="1">
      <alignment vertical="top"/>
    </xf>
    <xf numFmtId="164" fontId="0" fillId="0" borderId="2" xfId="3" applyNumberFormat="1" applyFont="1" applyFill="1" applyBorder="1" applyAlignment="1">
      <alignment vertical="top"/>
    </xf>
    <xf numFmtId="0" fontId="7" fillId="9" borderId="2" xfId="0" applyFont="1" applyFill="1" applyBorder="1" applyAlignment="1">
      <alignment horizontal="center" vertical="top"/>
    </xf>
    <xf numFmtId="0" fontId="8" fillId="9" borderId="2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8" fillId="10" borderId="2" xfId="0" applyFont="1" applyFill="1" applyBorder="1" applyAlignment="1">
      <alignment horizontal="center" vertical="center"/>
    </xf>
    <xf numFmtId="0" fontId="5" fillId="12" borderId="0" xfId="0" applyFont="1" applyFill="1" applyAlignment="1">
      <alignment horizontal="center" vertical="top"/>
    </xf>
    <xf numFmtId="0" fontId="2" fillId="11" borderId="2" xfId="0" applyFont="1" applyFill="1" applyBorder="1" applyAlignment="1">
      <alignment horizontal="center" vertical="top" wrapText="1"/>
    </xf>
    <xf numFmtId="43" fontId="0" fillId="0" borderId="0" xfId="1" applyFont="1" applyFill="1"/>
    <xf numFmtId="165" fontId="4" fillId="0" borderId="0" xfId="2" applyNumberFormat="1" applyFont="1" applyFill="1" applyBorder="1"/>
    <xf numFmtId="43" fontId="1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2" fillId="0" borderId="0" xfId="1" applyFont="1" applyFill="1"/>
    <xf numFmtId="10" fontId="4" fillId="0" borderId="0" xfId="2" applyNumberFormat="1" applyFont="1" applyFill="1"/>
    <xf numFmtId="43" fontId="2" fillId="0" borderId="0" xfId="1" applyFont="1" applyFill="1" applyBorder="1"/>
    <xf numFmtId="43" fontId="0" fillId="0" borderId="0" xfId="1" applyFont="1" applyFill="1" applyBorder="1"/>
    <xf numFmtId="165" fontId="4" fillId="0" borderId="0" xfId="2" applyNumberFormat="1" applyFont="1" applyFill="1"/>
    <xf numFmtId="43" fontId="2" fillId="0" borderId="0" xfId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Fill="1" applyAlignment="1">
      <alignment horizontal="center"/>
    </xf>
    <xf numFmtId="4" fontId="0" fillId="0" borderId="0" xfId="0" applyNumberFormat="1"/>
    <xf numFmtId="3" fontId="0" fillId="0" borderId="0" xfId="0" applyNumberFormat="1"/>
    <xf numFmtId="0" fontId="2" fillId="4" borderId="6" xfId="6" applyFont="1" applyFill="1" applyBorder="1"/>
    <xf numFmtId="0" fontId="9" fillId="0" borderId="0" xfId="7"/>
    <xf numFmtId="0" fontId="2" fillId="13" borderId="9" xfId="6" applyFont="1" applyFill="1" applyBorder="1"/>
    <xf numFmtId="0" fontId="2" fillId="13" borderId="9" xfId="6" applyFont="1" applyFill="1" applyBorder="1" applyAlignment="1">
      <alignment horizontal="center"/>
    </xf>
    <xf numFmtId="0" fontId="2" fillId="0" borderId="10" xfId="6" applyFont="1" applyBorder="1"/>
    <xf numFmtId="0" fontId="1" fillId="0" borderId="10" xfId="6" applyBorder="1"/>
    <xf numFmtId="10" fontId="9" fillId="0" borderId="2" xfId="7" applyNumberFormat="1" applyBorder="1"/>
    <xf numFmtId="2" fontId="9" fillId="0" borderId="2" xfId="7" applyNumberFormat="1" applyBorder="1"/>
    <xf numFmtId="169" fontId="9" fillId="0" borderId="2" xfId="7" applyNumberFormat="1" applyBorder="1"/>
    <xf numFmtId="10" fontId="0" fillId="0" borderId="2" xfId="9" applyNumberFormat="1" applyFont="1" applyBorder="1"/>
    <xf numFmtId="0" fontId="9" fillId="0" borderId="2" xfId="7" applyBorder="1"/>
    <xf numFmtId="0" fontId="1" fillId="0" borderId="12" xfId="6" applyBorder="1"/>
    <xf numFmtId="0" fontId="9" fillId="0" borderId="13" xfId="7" applyBorder="1"/>
    <xf numFmtId="0" fontId="2" fillId="13" borderId="7" xfId="6" applyFont="1" applyFill="1" applyBorder="1"/>
    <xf numFmtId="0" fontId="9" fillId="13" borderId="4" xfId="7" applyFill="1" applyBorder="1"/>
    <xf numFmtId="0" fontId="2" fillId="0" borderId="14" xfId="6" applyFont="1" applyBorder="1"/>
    <xf numFmtId="2" fontId="9" fillId="0" borderId="11" xfId="7" applyNumberFormat="1" applyBorder="1"/>
    <xf numFmtId="43" fontId="0" fillId="0" borderId="2" xfId="8" applyFont="1" applyBorder="1"/>
    <xf numFmtId="0" fontId="1" fillId="0" borderId="10" xfId="6" applyBorder="1" applyAlignment="1">
      <alignment horizontal="left"/>
    </xf>
    <xf numFmtId="2" fontId="10" fillId="0" borderId="2" xfId="7" applyNumberFormat="1" applyFont="1" applyBorder="1" applyAlignment="1">
      <alignment horizontal="right" vertical="top" shrinkToFit="1"/>
    </xf>
    <xf numFmtId="2" fontId="9" fillId="0" borderId="13" xfId="7" applyNumberFormat="1" applyBorder="1"/>
    <xf numFmtId="0" fontId="1" fillId="0" borderId="14" xfId="6" applyBorder="1"/>
    <xf numFmtId="43" fontId="10" fillId="0" borderId="11" xfId="8" applyFont="1" applyFill="1" applyBorder="1" applyAlignment="1">
      <alignment horizontal="right" vertical="top"/>
    </xf>
    <xf numFmtId="43" fontId="10" fillId="0" borderId="2" xfId="8" applyFont="1" applyFill="1" applyBorder="1" applyAlignment="1">
      <alignment horizontal="right" vertical="top"/>
    </xf>
    <xf numFmtId="166" fontId="11" fillId="0" borderId="2" xfId="8" applyNumberFormat="1" applyFont="1" applyFill="1" applyBorder="1"/>
    <xf numFmtId="3" fontId="12" fillId="14" borderId="2" xfId="7" applyNumberFormat="1" applyFont="1" applyFill="1" applyBorder="1" applyAlignment="1">
      <alignment horizontal="right" vertical="center" wrapText="1"/>
    </xf>
    <xf numFmtId="0" fontId="9" fillId="0" borderId="11" xfId="7" applyBorder="1"/>
    <xf numFmtId="43" fontId="9" fillId="0" borderId="2" xfId="7" applyNumberFormat="1" applyBorder="1"/>
    <xf numFmtId="0" fontId="1" fillId="0" borderId="15" xfId="6" applyBorder="1"/>
    <xf numFmtId="0" fontId="9" fillId="13" borderId="0" xfId="7" applyFill="1"/>
    <xf numFmtId="0" fontId="9" fillId="13" borderId="16" xfId="7" applyFill="1" applyBorder="1"/>
    <xf numFmtId="43" fontId="10" fillId="0" borderId="2" xfId="8" applyFont="1" applyBorder="1" applyAlignment="1">
      <alignment horizontal="left" vertical="top"/>
    </xf>
    <xf numFmtId="0" fontId="2" fillId="13" borderId="17" xfId="6" applyFont="1" applyFill="1" applyBorder="1"/>
    <xf numFmtId="0" fontId="9" fillId="13" borderId="1" xfId="7" applyFill="1" applyBorder="1"/>
    <xf numFmtId="0" fontId="9" fillId="13" borderId="18" xfId="7" applyFill="1" applyBorder="1"/>
    <xf numFmtId="0" fontId="9" fillId="4" borderId="2" xfId="7" applyFill="1" applyBorder="1"/>
    <xf numFmtId="3" fontId="12" fillId="0" borderId="0" xfId="0" applyNumberFormat="1" applyFont="1"/>
    <xf numFmtId="3" fontId="12" fillId="14" borderId="0" xfId="0" applyNumberFormat="1" applyFont="1" applyFill="1" applyAlignment="1">
      <alignment horizontal="right" vertical="center" wrapText="1"/>
    </xf>
    <xf numFmtId="10" fontId="0" fillId="0" borderId="0" xfId="2" applyNumberFormat="1" applyFont="1"/>
    <xf numFmtId="0" fontId="0" fillId="0" borderId="2" xfId="0" applyBorder="1"/>
    <xf numFmtId="0" fontId="14" fillId="3" borderId="2" xfId="0" applyFont="1" applyFill="1" applyBorder="1" applyAlignment="1">
      <alignment horizontal="center"/>
    </xf>
    <xf numFmtId="0" fontId="14" fillId="0" borderId="2" xfId="0" applyFont="1" applyBorder="1"/>
    <xf numFmtId="43" fontId="14" fillId="0" borderId="2" xfId="1" applyFont="1" applyFill="1" applyBorder="1" applyAlignment="1">
      <alignment horizontal="center"/>
    </xf>
    <xf numFmtId="0" fontId="8" fillId="5" borderId="2" xfId="0" applyFont="1" applyFill="1" applyBorder="1"/>
    <xf numFmtId="43" fontId="8" fillId="5" borderId="2" xfId="1" applyFont="1" applyFill="1" applyBorder="1"/>
    <xf numFmtId="43" fontId="14" fillId="0" borderId="2" xfId="1" applyFont="1" applyBorder="1"/>
    <xf numFmtId="0" fontId="8" fillId="0" borderId="2" xfId="0" applyFont="1" applyBorder="1"/>
    <xf numFmtId="43" fontId="8" fillId="0" borderId="2" xfId="1" applyFont="1" applyBorder="1"/>
    <xf numFmtId="43" fontId="14" fillId="0" borderId="2" xfId="1" applyFont="1" applyFill="1" applyBorder="1" applyAlignment="1">
      <alignment horizontal="right"/>
    </xf>
    <xf numFmtId="0" fontId="14" fillId="0" borderId="2" xfId="0" applyFont="1" applyBorder="1" applyAlignment="1">
      <alignment horizontal="left" indent="1"/>
    </xf>
    <xf numFmtId="0" fontId="8" fillId="5" borderId="2" xfId="0" applyFont="1" applyFill="1" applyBorder="1" applyAlignment="1">
      <alignment horizontal="left"/>
    </xf>
    <xf numFmtId="43" fontId="14" fillId="0" borderId="2" xfId="0" applyNumberFormat="1" applyFont="1" applyBorder="1"/>
    <xf numFmtId="0" fontId="14" fillId="6" borderId="2" xfId="0" applyFont="1" applyFill="1" applyBorder="1"/>
    <xf numFmtId="43" fontId="14" fillId="0" borderId="2" xfId="1" applyFont="1" applyFill="1" applyBorder="1"/>
    <xf numFmtId="0" fontId="14" fillId="7" borderId="2" xfId="0" applyFont="1" applyFill="1" applyBorder="1"/>
    <xf numFmtId="43" fontId="14" fillId="7" borderId="2" xfId="1" applyFont="1" applyFill="1" applyBorder="1"/>
    <xf numFmtId="43" fontId="14" fillId="7" borderId="2" xfId="1" applyFont="1" applyFill="1" applyBorder="1" applyAlignment="1">
      <alignment horizontal="right"/>
    </xf>
    <xf numFmtId="165" fontId="14" fillId="7" borderId="2" xfId="2" applyNumberFormat="1" applyFont="1" applyFill="1" applyBorder="1"/>
    <xf numFmtId="10" fontId="14" fillId="7" borderId="2" xfId="2" applyNumberFormat="1" applyFont="1" applyFill="1" applyBorder="1"/>
    <xf numFmtId="0" fontId="15" fillId="0" borderId="18" xfId="0" applyFont="1" applyBorder="1"/>
    <xf numFmtId="0" fontId="15" fillId="0" borderId="1" xfId="0" applyFont="1" applyBorder="1"/>
    <xf numFmtId="0" fontId="16" fillId="0" borderId="18" xfId="0" applyFont="1" applyBorder="1" applyAlignment="1">
      <alignment horizontal="center"/>
    </xf>
    <xf numFmtId="0" fontId="8" fillId="9" borderId="2" xfId="0" applyFont="1" applyFill="1" applyBorder="1" applyAlignment="1">
      <alignment horizontal="left"/>
    </xf>
    <xf numFmtId="2" fontId="14" fillId="0" borderId="2" xfId="0" applyNumberFormat="1" applyFont="1" applyBorder="1" applyAlignment="1">
      <alignment horizontal="right"/>
    </xf>
    <xf numFmtId="0" fontId="17" fillId="7" borderId="2" xfId="0" applyFont="1" applyFill="1" applyBorder="1"/>
    <xf numFmtId="165" fontId="17" fillId="7" borderId="2" xfId="2" applyNumberFormat="1" applyFont="1" applyFill="1" applyBorder="1"/>
    <xf numFmtId="43" fontId="17" fillId="7" borderId="2" xfId="1" applyFont="1" applyFill="1" applyBorder="1"/>
    <xf numFmtId="43" fontId="14" fillId="0" borderId="2" xfId="1" applyFont="1" applyBorder="1" applyAlignment="1">
      <alignment horizontal="center"/>
    </xf>
    <xf numFmtId="10" fontId="17" fillId="7" borderId="2" xfId="2" applyNumberFormat="1" applyFont="1" applyFill="1" applyBorder="1"/>
    <xf numFmtId="43" fontId="18" fillId="7" borderId="2" xfId="1" applyFont="1" applyFill="1" applyBorder="1"/>
    <xf numFmtId="0" fontId="14" fillId="0" borderId="2" xfId="0" applyFont="1" applyBorder="1" applyAlignment="1">
      <alignment horizontal="left"/>
    </xf>
    <xf numFmtId="0" fontId="8" fillId="7" borderId="2" xfId="0" applyFont="1" applyFill="1" applyBorder="1"/>
    <xf numFmtId="43" fontId="8" fillId="7" borderId="2" xfId="1" applyFont="1" applyFill="1" applyBorder="1"/>
    <xf numFmtId="43" fontId="8" fillId="7" borderId="2" xfId="1" applyFont="1" applyFill="1" applyBorder="1" applyAlignment="1">
      <alignment horizontal="center"/>
    </xf>
    <xf numFmtId="43" fontId="14" fillId="0" borderId="2" xfId="1" applyFont="1" applyBorder="1" applyAlignment="1">
      <alignment horizontal="right"/>
    </xf>
    <xf numFmtId="0" fontId="19" fillId="7" borderId="2" xfId="0" applyFont="1" applyFill="1" applyBorder="1"/>
    <xf numFmtId="43" fontId="19" fillId="0" borderId="2" xfId="1" applyFont="1" applyFill="1" applyBorder="1"/>
    <xf numFmtId="43" fontId="19" fillId="7" borderId="2" xfId="1" applyFont="1" applyFill="1" applyBorder="1"/>
    <xf numFmtId="0" fontId="0" fillId="9" borderId="0" xfId="0" applyFill="1"/>
    <xf numFmtId="0" fontId="16" fillId="0" borderId="2" xfId="0" applyFont="1" applyBorder="1"/>
    <xf numFmtId="0" fontId="20" fillId="9" borderId="0" xfId="0" applyFont="1" applyFill="1" applyAlignment="1">
      <alignment horizontal="center"/>
    </xf>
    <xf numFmtId="0" fontId="14" fillId="3" borderId="11" xfId="0" applyFont="1" applyFill="1" applyBorder="1"/>
    <xf numFmtId="0" fontId="14" fillId="3" borderId="11" xfId="0" applyFont="1" applyFill="1" applyBorder="1" applyAlignment="1">
      <alignment horizontal="center"/>
    </xf>
    <xf numFmtId="43" fontId="8" fillId="15" borderId="2" xfId="1" applyFont="1" applyFill="1" applyBorder="1"/>
    <xf numFmtId="0" fontId="16" fillId="0" borderId="2" xfId="0" applyFont="1" applyBorder="1" applyAlignment="1">
      <alignment horizontal="center"/>
    </xf>
    <xf numFmtId="43" fontId="8" fillId="5" borderId="2" xfId="0" applyNumberFormat="1" applyFont="1" applyFill="1" applyBorder="1"/>
    <xf numFmtId="4" fontId="12" fillId="14" borderId="0" xfId="0" applyNumberFormat="1" applyFont="1" applyFill="1" applyAlignment="1">
      <alignment horizontal="right" vertical="center" wrapText="1"/>
    </xf>
    <xf numFmtId="170" fontId="8" fillId="0" borderId="2" xfId="1" applyNumberFormat="1" applyFont="1" applyBorder="1"/>
    <xf numFmtId="0" fontId="5" fillId="12" borderId="3" xfId="0" applyFont="1" applyFill="1" applyBorder="1" applyAlignment="1">
      <alignment horizontal="center" vertical="top"/>
    </xf>
    <xf numFmtId="0" fontId="5" fillId="12" borderId="4" xfId="0" applyFont="1" applyFill="1" applyBorder="1" applyAlignment="1">
      <alignment horizontal="center" vertical="top"/>
    </xf>
    <xf numFmtId="0" fontId="5" fillId="12" borderId="5" xfId="0" applyFont="1" applyFill="1" applyBorder="1" applyAlignment="1">
      <alignment horizontal="center" vertical="top"/>
    </xf>
    <xf numFmtId="0" fontId="8" fillId="10" borderId="2" xfId="0" applyFont="1" applyFill="1" applyBorder="1" applyAlignment="1">
      <alignment horizontal="center" vertical="center" wrapText="1"/>
    </xf>
    <xf numFmtId="0" fontId="20" fillId="16" borderId="7" xfId="0" applyFont="1" applyFill="1" applyBorder="1" applyAlignment="1">
      <alignment horizontal="center" vertical="center"/>
    </xf>
    <xf numFmtId="0" fontId="20" fillId="16" borderId="19" xfId="0" applyFont="1" applyFill="1" applyBorder="1" applyAlignment="1">
      <alignment horizontal="center" vertical="center"/>
    </xf>
    <xf numFmtId="0" fontId="20" fillId="16" borderId="8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" fillId="4" borderId="7" xfId="6" applyFont="1" applyFill="1" applyBorder="1" applyAlignment="1">
      <alignment horizontal="center"/>
    </xf>
    <xf numFmtId="0" fontId="2" fillId="4" borderId="8" xfId="6" applyFont="1" applyFill="1" applyBorder="1" applyAlignment="1">
      <alignment horizontal="center"/>
    </xf>
    <xf numFmtId="170" fontId="8" fillId="7" borderId="2" xfId="1" applyNumberFormat="1" applyFont="1" applyFill="1" applyBorder="1"/>
    <xf numFmtId="43" fontId="8" fillId="5" borderId="2" xfId="1" applyNumberFormat="1" applyFont="1" applyFill="1" applyBorder="1"/>
  </cellXfs>
  <cellStyles count="10">
    <cellStyle name="Comma" xfId="1" builtinId="3"/>
    <cellStyle name="Comma 2" xfId="3" xr:uid="{00000000-0005-0000-0000-000001000000}"/>
    <cellStyle name="Comma 2 2" xfId="4" xr:uid="{00000000-0005-0000-0000-000002000000}"/>
    <cellStyle name="Comma 3" xfId="5" xr:uid="{00000000-0005-0000-0000-000003000000}"/>
    <cellStyle name="Comma 4" xfId="8" xr:uid="{00000000-0005-0000-0000-000004000000}"/>
    <cellStyle name="Normal" xfId="0" builtinId="0"/>
    <cellStyle name="Normal 2" xfId="7" xr:uid="{00000000-0005-0000-0000-000006000000}"/>
    <cellStyle name="Normal 5" xfId="6" xr:uid="{00000000-0005-0000-0000-000007000000}"/>
    <cellStyle name="Percent" xfId="2" builtinId="5"/>
    <cellStyle name="Percent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JIV/Desktop/Valorem%20Advisors/SVPL/Summary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Standalone"/>
      <sheetName val="Peer Analysis working "/>
      <sheetName val="Peer Analysis Final "/>
      <sheetName val="Sheet1"/>
      <sheetName val="Peer Analysis working"/>
      <sheetName val="Peer Analysis Final"/>
    </sheetNames>
    <sheetDataSet>
      <sheetData sheetId="0"/>
      <sheetData sheetId="1"/>
      <sheetData sheetId="2">
        <row r="5">
          <cell r="C5">
            <v>4922.2</v>
          </cell>
          <cell r="D5">
            <v>6728.6</v>
          </cell>
          <cell r="E5">
            <v>5689.2</v>
          </cell>
          <cell r="F5">
            <v>44274</v>
          </cell>
          <cell r="I5">
            <v>680.69399999999996</v>
          </cell>
          <cell r="J5">
            <v>4754.6000000000004</v>
          </cell>
          <cell r="K5">
            <v>3151.3</v>
          </cell>
          <cell r="L5">
            <v>6058.3</v>
          </cell>
          <cell r="M5">
            <v>25609</v>
          </cell>
        </row>
        <row r="6">
          <cell r="I6">
            <v>0</v>
          </cell>
          <cell r="J6">
            <v>0</v>
          </cell>
          <cell r="K6">
            <v>389.3</v>
          </cell>
          <cell r="L6">
            <v>66.7</v>
          </cell>
          <cell r="M6">
            <v>859</v>
          </cell>
        </row>
        <row r="7">
          <cell r="B7">
            <v>6.6957261377430521E-2</v>
          </cell>
          <cell r="C7">
            <v>1.7483450932637146E-2</v>
          </cell>
          <cell r="D7">
            <v>0.11395326030791875</v>
          </cell>
          <cell r="E7">
            <v>8.1957653928725893E-2</v>
          </cell>
          <cell r="F7">
            <v>7.2805272529955722E-2</v>
          </cell>
          <cell r="I7">
            <v>180.61199999999999</v>
          </cell>
          <cell r="J7">
            <v>0</v>
          </cell>
          <cell r="K7">
            <v>832.6</v>
          </cell>
          <cell r="L7">
            <v>862.5</v>
          </cell>
          <cell r="M7">
            <v>2879</v>
          </cell>
        </row>
        <row r="12">
          <cell r="B12">
            <v>233.76000000000022</v>
          </cell>
          <cell r="C12">
            <v>874.7</v>
          </cell>
          <cell r="D12">
            <v>933</v>
          </cell>
          <cell r="E12">
            <v>977.9</v>
          </cell>
          <cell r="F12">
            <v>5489</v>
          </cell>
        </row>
        <row r="14">
          <cell r="B14">
            <v>0.27796799337795663</v>
          </cell>
          <cell r="C14">
            <v>0.20517447704828018</v>
          </cell>
          <cell r="D14">
            <v>0.33549630488669613</v>
          </cell>
          <cell r="E14">
            <v>-2.4487478418460316</v>
          </cell>
          <cell r="F14">
            <v>5.7989028682093879E-2</v>
          </cell>
        </row>
        <row r="25">
          <cell r="B25">
            <v>62.377000000000223</v>
          </cell>
          <cell r="C25">
            <v>788.3</v>
          </cell>
          <cell r="D25">
            <v>296</v>
          </cell>
          <cell r="E25">
            <v>99.7</v>
          </cell>
          <cell r="F25">
            <v>3451</v>
          </cell>
        </row>
        <row r="27">
          <cell r="B27">
            <v>0.15020466640116381</v>
          </cell>
          <cell r="C27">
            <v>-2.3617924740187757E-2</v>
          </cell>
          <cell r="D27">
            <v>0.2798301533370493</v>
          </cell>
          <cell r="E27">
            <v>-1.7739968460390942E-2</v>
          </cell>
          <cell r="F27">
            <v>1.3492351397157654E-2</v>
          </cell>
          <cell r="I27">
            <v>16042570</v>
          </cell>
          <cell r="J27">
            <v>15050871</v>
          </cell>
          <cell r="K27">
            <v>37759530</v>
          </cell>
          <cell r="L27">
            <v>30603181</v>
          </cell>
          <cell r="M27">
            <v>109971221</v>
          </cell>
        </row>
        <row r="28">
          <cell r="I28">
            <v>70.587307999999993</v>
          </cell>
          <cell r="J28">
            <v>569.82597606000002</v>
          </cell>
          <cell r="K28">
            <v>104.9714934</v>
          </cell>
          <cell r="L28">
            <v>220.95496682000004</v>
          </cell>
          <cell r="M28">
            <v>2525.489090265</v>
          </cell>
        </row>
        <row r="29">
          <cell r="B29">
            <v>3.76</v>
          </cell>
          <cell r="C29">
            <v>52.21</v>
          </cell>
          <cell r="D29">
            <v>7.83</v>
          </cell>
          <cell r="E29">
            <v>3.26</v>
          </cell>
          <cell r="F29">
            <v>31.37</v>
          </cell>
        </row>
        <row r="31">
          <cell r="I31">
            <v>29.757307999999966</v>
          </cell>
          <cell r="J31">
            <v>387.32597606000002</v>
          </cell>
          <cell r="K31">
            <v>625.27149340000017</v>
          </cell>
          <cell r="L31">
            <v>998.55496682</v>
          </cell>
          <cell r="M31">
            <v>-3254.5109097349996</v>
          </cell>
        </row>
        <row r="32">
          <cell r="J32">
            <v>378.6</v>
          </cell>
          <cell r="K32">
            <v>27.8</v>
          </cell>
          <cell r="L32">
            <v>72.2</v>
          </cell>
          <cell r="M32">
            <v>229.65</v>
          </cell>
        </row>
        <row r="34">
          <cell r="I34">
            <v>424.30483395116869</v>
          </cell>
          <cell r="J34">
            <v>3159.0198334701026</v>
          </cell>
          <cell r="K34">
            <v>834.57076928658807</v>
          </cell>
          <cell r="L34">
            <v>1979.6308102742653</v>
          </cell>
          <cell r="M34">
            <v>2328.7001605629166</v>
          </cell>
        </row>
        <row r="35">
          <cell r="I35">
            <v>11.702127659574469</v>
          </cell>
          <cell r="J35">
            <v>7.2514843899636086</v>
          </cell>
          <cell r="K35">
            <v>3.5504469987228608</v>
          </cell>
          <cell r="L35">
            <v>22.147239263803684</v>
          </cell>
          <cell r="M35">
            <v>7.3206885559451704</v>
          </cell>
        </row>
        <row r="36">
          <cell r="I36">
            <v>0.10369903069514348</v>
          </cell>
          <cell r="J36">
            <v>0.11984730073192279</v>
          </cell>
          <cell r="K36">
            <v>3.3310536413543618E-2</v>
          </cell>
          <cell r="L36">
            <v>3.6471446910849581E-2</v>
          </cell>
          <cell r="M36">
            <v>9.8617247462415569E-2</v>
          </cell>
        </row>
        <row r="37">
          <cell r="I37">
            <v>0.12729854551676908</v>
          </cell>
          <cell r="J37">
            <v>0.44281007895278379</v>
          </cell>
          <cell r="K37">
            <v>0.67017309046087903</v>
          </cell>
          <cell r="L37">
            <v>1.021121757664383</v>
          </cell>
          <cell r="M37">
            <v>-0.59291508648843139</v>
          </cell>
        </row>
        <row r="38">
          <cell r="I38">
            <v>9.1637358343103104E-2</v>
          </cell>
          <cell r="J38">
            <v>0.16579733310898917</v>
          </cell>
          <cell r="K38">
            <v>9.392948941706597E-2</v>
          </cell>
          <cell r="L38">
            <v>1.6456761797864088E-2</v>
          </cell>
          <cell r="M38">
            <v>0.13475731188254128</v>
          </cell>
        </row>
        <row r="39">
          <cell r="I39">
            <v>0.15966919879744115</v>
          </cell>
          <cell r="J39">
            <v>0.23463756949794889</v>
          </cell>
          <cell r="K39">
            <v>0.16266310441067727</v>
          </cell>
          <cell r="L39">
            <v>7.0130917016226549E-2</v>
          </cell>
          <cell r="M39">
            <v>0.12677259525029899</v>
          </cell>
        </row>
        <row r="40">
          <cell r="I40">
            <v>0.19664505085895492</v>
          </cell>
          <cell r="J40">
            <v>0.68930559505911992</v>
          </cell>
          <cell r="K40">
            <v>0.63170644710638169</v>
          </cell>
          <cell r="L40">
            <v>0.8970505519229417</v>
          </cell>
          <cell r="M40">
            <v>0.46451642047251207</v>
          </cell>
        </row>
        <row r="41">
          <cell r="I41">
            <v>0.2653350844873027</v>
          </cell>
          <cell r="J41">
            <v>0</v>
          </cell>
          <cell r="K41">
            <v>0.38774474026592198</v>
          </cell>
          <cell r="L41">
            <v>0.15337635970486771</v>
          </cell>
          <cell r="M41">
            <v>0.14596430942246866</v>
          </cell>
        </row>
        <row r="42">
          <cell r="I42">
            <v>-5.998289980519883E-2</v>
          </cell>
          <cell r="J42">
            <v>-3.8383880873259578E-2</v>
          </cell>
          <cell r="K42">
            <v>0.16510646399898457</v>
          </cell>
          <cell r="L42">
            <v>0.128352838254956</v>
          </cell>
          <cell r="M42">
            <v>-0.22570190167519233</v>
          </cell>
        </row>
        <row r="44">
          <cell r="I44">
            <v>3.4090909090909088E-2</v>
          </cell>
          <cell r="J44">
            <v>0.10565240359218171</v>
          </cell>
          <cell r="K44">
            <v>0</v>
          </cell>
          <cell r="L44">
            <v>0</v>
          </cell>
          <cell r="M44">
            <v>6.531678641410843E-2</v>
          </cell>
        </row>
        <row r="45">
          <cell r="I45">
            <v>66.342013720741051</v>
          </cell>
          <cell r="J45">
            <v>65.062573645930684</v>
          </cell>
          <cell r="K45">
            <v>86.592976250631622</v>
          </cell>
          <cell r="L45">
            <v>107.90185790620825</v>
          </cell>
          <cell r="M45">
            <v>56.711275240547494</v>
          </cell>
        </row>
        <row r="46">
          <cell r="I46">
            <v>6242.8348665021331</v>
          </cell>
          <cell r="J46">
            <v>17.260000000000002</v>
          </cell>
          <cell r="K46">
            <v>29.69</v>
          </cell>
          <cell r="L46">
            <v>50.87</v>
          </cell>
          <cell r="M46">
            <v>51.52</v>
          </cell>
        </row>
        <row r="47">
          <cell r="I47">
            <v>0</v>
          </cell>
          <cell r="J47">
            <v>0</v>
          </cell>
          <cell r="K47">
            <v>10.79</v>
          </cell>
          <cell r="L47">
            <v>0</v>
          </cell>
          <cell r="M47">
            <v>16.899999999999999</v>
          </cell>
        </row>
        <row r="48">
          <cell r="I48">
            <v>-6176.4928527813918</v>
          </cell>
          <cell r="J48">
            <v>47.802573645930678</v>
          </cell>
          <cell r="K48">
            <v>67.692976250631631</v>
          </cell>
          <cell r="L48">
            <v>57.031857906208252</v>
          </cell>
          <cell r="M48">
            <v>22.091275240547482</v>
          </cell>
        </row>
        <row r="49">
          <cell r="I49">
            <v>38.568782865166789</v>
          </cell>
          <cell r="J49">
            <v>104.5124131485921</v>
          </cell>
          <cell r="K49">
            <v>-3.1679695627619462</v>
          </cell>
          <cell r="L49">
            <v>102.35551571398437</v>
          </cell>
          <cell r="M49">
            <v>168.22119076658987</v>
          </cell>
        </row>
        <row r="50">
          <cell r="I50">
            <v>0.19180342391424715</v>
          </cell>
          <cell r="J50">
            <v>0</v>
          </cell>
          <cell r="K50">
            <v>0.24519191423193387</v>
          </cell>
          <cell r="L50">
            <v>0.14496340938441668</v>
          </cell>
          <cell r="M50">
            <v>0.13001605136436598</v>
          </cell>
        </row>
        <row r="51">
          <cell r="I51">
            <v>3.7837018647884131</v>
          </cell>
          <cell r="J51">
            <v>158.70422535211267</v>
          </cell>
          <cell r="K51">
            <v>2.2760347129506009</v>
          </cell>
          <cell r="L51">
            <v>3.4877505567928733</v>
          </cell>
          <cell r="M51">
            <v>10.687242798353909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view="pageBreakPreview" zoomScaleNormal="100" zoomScaleSheetLayoutView="100" workbookViewId="0">
      <selection activeCell="B6" sqref="B6"/>
    </sheetView>
  </sheetViews>
  <sheetFormatPr defaultColWidth="9.1796875" defaultRowHeight="14.5"/>
  <cols>
    <col min="1" max="1" width="25.453125" style="7" customWidth="1"/>
    <col min="2" max="3" width="14.7265625" style="7" customWidth="1"/>
    <col min="4" max="5" width="14.7265625" style="8" customWidth="1"/>
    <col min="6" max="7" width="14.7265625" style="7" customWidth="1"/>
    <col min="8" max="16384" width="9.1796875" style="7"/>
  </cols>
  <sheetData>
    <row r="1" spans="1:7" s="4" customFormat="1" ht="18.5">
      <c r="A1" s="148" t="s">
        <v>141</v>
      </c>
      <c r="B1" s="149"/>
      <c r="C1" s="149"/>
      <c r="D1" s="149"/>
      <c r="E1" s="149"/>
      <c r="F1" s="150"/>
      <c r="G1" s="44"/>
    </row>
    <row r="2" spans="1:7" s="42" customFormat="1">
      <c r="A2" s="151" t="s">
        <v>140</v>
      </c>
      <c r="B2" s="45" t="s">
        <v>103</v>
      </c>
      <c r="C2" s="45" t="s">
        <v>104</v>
      </c>
      <c r="D2" s="45" t="s">
        <v>105</v>
      </c>
      <c r="E2" s="45" t="s">
        <v>106</v>
      </c>
      <c r="F2" s="45" t="s">
        <v>107</v>
      </c>
      <c r="G2" s="45" t="s">
        <v>108</v>
      </c>
    </row>
    <row r="3" spans="1:7" s="42" customFormat="1" ht="15.5">
      <c r="A3" s="151"/>
      <c r="B3" s="43" t="s">
        <v>142</v>
      </c>
      <c r="C3" s="43" t="s">
        <v>142</v>
      </c>
      <c r="D3" s="43" t="s">
        <v>142</v>
      </c>
      <c r="E3" s="43" t="s">
        <v>142</v>
      </c>
      <c r="F3" s="43" t="s">
        <v>142</v>
      </c>
      <c r="G3" s="43" t="s">
        <v>142</v>
      </c>
    </row>
    <row r="4" spans="1:7" ht="15.5">
      <c r="A4" s="15" t="s">
        <v>139</v>
      </c>
      <c r="B4" s="41"/>
      <c r="C4" s="40"/>
      <c r="D4" s="39"/>
      <c r="E4" s="39"/>
      <c r="F4" s="39"/>
      <c r="G4" s="39"/>
    </row>
    <row r="5" spans="1:7">
      <c r="A5" s="15" t="s">
        <v>102</v>
      </c>
      <c r="B5" s="5"/>
      <c r="C5" s="10"/>
      <c r="D5" s="17"/>
      <c r="E5" s="17"/>
      <c r="F5" s="17"/>
      <c r="G5" s="17"/>
    </row>
    <row r="6" spans="1:7">
      <c r="A6" s="10" t="s">
        <v>138</v>
      </c>
      <c r="B6" s="38" t="e">
        <f>#REF!*10</f>
        <v>#REF!</v>
      </c>
      <c r="C6" s="37">
        <f>'[1]Peer Analysis working '!C5*10</f>
        <v>49222</v>
      </c>
      <c r="D6" s="37">
        <f>'[1]Peer Analysis working '!D5*10</f>
        <v>67286</v>
      </c>
      <c r="E6" s="37">
        <f>'[1]Peer Analysis working '!E5*10</f>
        <v>56892</v>
      </c>
      <c r="F6" s="37">
        <f>'[1]Peer Analysis working '!F5*10</f>
        <v>442740</v>
      </c>
      <c r="G6" s="37"/>
    </row>
    <row r="7" spans="1:7">
      <c r="A7" s="10" t="s">
        <v>135</v>
      </c>
      <c r="B7" s="33">
        <f>'[1]Peer Analysis working '!B7</f>
        <v>6.6957261377430521E-2</v>
      </c>
      <c r="C7" s="32">
        <f>'[1]Peer Analysis working '!C7</f>
        <v>1.7483450932637146E-2</v>
      </c>
      <c r="D7" s="32">
        <f>'[1]Peer Analysis working '!D7</f>
        <v>0.11395326030791875</v>
      </c>
      <c r="E7" s="32">
        <f>'[1]Peer Analysis working '!E7</f>
        <v>8.1957653928725893E-2</v>
      </c>
      <c r="F7" s="32">
        <f>'[1]Peer Analysis working '!F7</f>
        <v>7.2805272529955722E-2</v>
      </c>
      <c r="G7" s="32"/>
    </row>
    <row r="8" spans="1:7" s="20" customFormat="1">
      <c r="A8" s="15" t="s">
        <v>42</v>
      </c>
      <c r="B8" s="36">
        <f>'[1]Peer Analysis working '!B12*10</f>
        <v>2337.6000000000022</v>
      </c>
      <c r="C8" s="35">
        <f>'[1]Peer Analysis working '!C12*10</f>
        <v>8747</v>
      </c>
      <c r="D8" s="35">
        <f>'[1]Peer Analysis working '!D12*10</f>
        <v>9330</v>
      </c>
      <c r="E8" s="35">
        <f>'[1]Peer Analysis working '!E12*10</f>
        <v>9779</v>
      </c>
      <c r="F8" s="35">
        <f>'[1]Peer Analysis working '!F12*10</f>
        <v>54890</v>
      </c>
      <c r="G8" s="35"/>
    </row>
    <row r="9" spans="1:7">
      <c r="A9" s="10" t="s">
        <v>135</v>
      </c>
      <c r="B9" s="33">
        <f>'[1]Peer Analysis working '!B14</f>
        <v>0.27796799337795663</v>
      </c>
      <c r="C9" s="32">
        <f>'[1]Peer Analysis working '!C14</f>
        <v>0.20517447704828018</v>
      </c>
      <c r="D9" s="32">
        <f>'[1]Peer Analysis working '!D14</f>
        <v>0.33549630488669613</v>
      </c>
      <c r="E9" s="32">
        <f>'[1]Peer Analysis working '!E14</f>
        <v>-2.4487478418460316</v>
      </c>
      <c r="F9" s="32">
        <f>'[1]Peer Analysis working '!F14</f>
        <v>5.7989028682093879E-2</v>
      </c>
      <c r="G9" s="32"/>
    </row>
    <row r="10" spans="1:7" s="20" customFormat="1">
      <c r="A10" s="15" t="s">
        <v>137</v>
      </c>
      <c r="B10" s="31" t="e">
        <f>+B8/B$6</f>
        <v>#REF!</v>
      </c>
      <c r="C10" s="31">
        <f>+C8/C$6</f>
        <v>0.17770509121937345</v>
      </c>
      <c r="D10" s="31">
        <f>+D8/D$6</f>
        <v>0.13866183158457926</v>
      </c>
      <c r="E10" s="31">
        <f>+E8/E$6</f>
        <v>0.17188708430007735</v>
      </c>
      <c r="F10" s="31">
        <f>+F8/F$6</f>
        <v>0.12397795545918598</v>
      </c>
      <c r="G10" s="31"/>
    </row>
    <row r="11" spans="1:7" s="20" customFormat="1">
      <c r="A11" s="15" t="s">
        <v>136</v>
      </c>
      <c r="B11" s="29">
        <f>'[1]Peer Analysis working '!B25*10</f>
        <v>623.77000000000226</v>
      </c>
      <c r="C11" s="34">
        <f>'[1]Peer Analysis working '!C25*10</f>
        <v>7883</v>
      </c>
      <c r="D11" s="34">
        <f>'[1]Peer Analysis working '!D25*10</f>
        <v>2960</v>
      </c>
      <c r="E11" s="34">
        <f>'[1]Peer Analysis working '!E25*10</f>
        <v>997</v>
      </c>
      <c r="F11" s="34">
        <f>'[1]Peer Analysis working '!F25*10</f>
        <v>34510</v>
      </c>
      <c r="G11" s="34"/>
    </row>
    <row r="12" spans="1:7">
      <c r="A12" s="10" t="s">
        <v>135</v>
      </c>
      <c r="B12" s="33">
        <f>'[1]Peer Analysis working '!B27</f>
        <v>0.15020466640116381</v>
      </c>
      <c r="C12" s="32">
        <f>'[1]Peer Analysis working '!C27</f>
        <v>-2.3617924740187757E-2</v>
      </c>
      <c r="D12" s="32">
        <f>'[1]Peer Analysis working '!D27</f>
        <v>0.2798301533370493</v>
      </c>
      <c r="E12" s="32">
        <f>'[1]Peer Analysis working '!E27</f>
        <v>-1.7739968460390942E-2</v>
      </c>
      <c r="F12" s="32">
        <f>'[1]Peer Analysis working '!F27</f>
        <v>1.3492351397157654E-2</v>
      </c>
      <c r="G12" s="32"/>
    </row>
    <row r="13" spans="1:7">
      <c r="A13" s="15" t="s">
        <v>134</v>
      </c>
      <c r="B13" s="31" t="e">
        <f>+B11/B$6</f>
        <v>#REF!</v>
      </c>
      <c r="C13" s="30">
        <f>+C11/C$6</f>
        <v>0.1601519645686888</v>
      </c>
      <c r="D13" s="30">
        <f>+D11/D$6</f>
        <v>4.3991320631334901E-2</v>
      </c>
      <c r="E13" s="30">
        <f>+E11/E$6</f>
        <v>1.7524432257610911E-2</v>
      </c>
      <c r="F13" s="30">
        <f>+F11/F$6</f>
        <v>7.7946424538103631E-2</v>
      </c>
      <c r="G13" s="30"/>
    </row>
    <row r="14" spans="1:7">
      <c r="A14" s="10" t="s">
        <v>50</v>
      </c>
      <c r="B14" s="11">
        <f>'[1]Peer Analysis working '!B29</f>
        <v>3.76</v>
      </c>
      <c r="C14" s="11">
        <f>'[1]Peer Analysis working '!C29</f>
        <v>52.21</v>
      </c>
      <c r="D14" s="11">
        <f>'[1]Peer Analysis working '!D29</f>
        <v>7.83</v>
      </c>
      <c r="E14" s="11">
        <f>'[1]Peer Analysis working '!E29</f>
        <v>3.26</v>
      </c>
      <c r="F14" s="11">
        <f>'[1]Peer Analysis working '!F29</f>
        <v>31.37</v>
      </c>
      <c r="G14" s="11"/>
    </row>
    <row r="15" spans="1:7">
      <c r="A15" s="10"/>
      <c r="B15" s="5"/>
      <c r="C15" s="10"/>
      <c r="D15" s="17"/>
      <c r="E15" s="17"/>
      <c r="F15" s="10"/>
      <c r="G15" s="10"/>
    </row>
    <row r="16" spans="1:7">
      <c r="A16" s="10"/>
      <c r="B16" s="5"/>
      <c r="C16" s="10"/>
      <c r="D16" s="17"/>
      <c r="E16" s="17"/>
      <c r="F16" s="10"/>
      <c r="G16" s="10"/>
    </row>
    <row r="17" spans="1:7">
      <c r="A17" s="15" t="s">
        <v>133</v>
      </c>
      <c r="B17" s="16"/>
      <c r="C17" s="15"/>
      <c r="D17" s="15"/>
      <c r="E17" s="15"/>
      <c r="F17" s="15"/>
      <c r="G17" s="15"/>
    </row>
    <row r="18" spans="1:7" s="20" customFormat="1">
      <c r="A18" s="15" t="s">
        <v>132</v>
      </c>
      <c r="B18" s="29">
        <f>'[1]Peer Analysis working '!I5*10</f>
        <v>6806.94</v>
      </c>
      <c r="C18" s="29">
        <f>'[1]Peer Analysis working '!J5*10</f>
        <v>47546</v>
      </c>
      <c r="D18" s="29">
        <f>'[1]Peer Analysis working '!K5*10</f>
        <v>31513</v>
      </c>
      <c r="E18" s="29">
        <f>'[1]Peer Analysis working '!L5*10</f>
        <v>60583</v>
      </c>
      <c r="F18" s="29">
        <f>'[1]Peer Analysis working '!M5*10</f>
        <v>256090</v>
      </c>
      <c r="G18" s="29"/>
    </row>
    <row r="19" spans="1:7" s="20" customFormat="1">
      <c r="A19" s="15" t="s">
        <v>71</v>
      </c>
      <c r="B19" s="29">
        <f>SUM(B20:B21)</f>
        <v>1806.12</v>
      </c>
      <c r="C19" s="29">
        <f>SUM(C20:C21)</f>
        <v>0</v>
      </c>
      <c r="D19" s="29">
        <f>SUM(D20:D21)</f>
        <v>12219</v>
      </c>
      <c r="E19" s="29">
        <f>SUM(E20:E21)</f>
        <v>9292</v>
      </c>
      <c r="F19" s="29">
        <f>SUM(F20:F21)</f>
        <v>37380</v>
      </c>
      <c r="G19" s="29"/>
    </row>
    <row r="20" spans="1:7">
      <c r="A20" s="28" t="s">
        <v>131</v>
      </c>
      <c r="B20" s="11">
        <f>'[1]Peer Analysis working '!I6*10</f>
        <v>0</v>
      </c>
      <c r="C20" s="11">
        <f>'[1]Peer Analysis working '!J6*10</f>
        <v>0</v>
      </c>
      <c r="D20" s="11">
        <f>'[1]Peer Analysis working '!K6*10</f>
        <v>3893</v>
      </c>
      <c r="E20" s="11">
        <f>'[1]Peer Analysis working '!L6*10</f>
        <v>667</v>
      </c>
      <c r="F20" s="11">
        <f>'[1]Peer Analysis working '!M6*10</f>
        <v>8590</v>
      </c>
      <c r="G20" s="11"/>
    </row>
    <row r="21" spans="1:7">
      <c r="A21" s="28" t="s">
        <v>130</v>
      </c>
      <c r="B21" s="11">
        <f>'[1]Peer Analysis working '!I7*10</f>
        <v>1806.12</v>
      </c>
      <c r="C21" s="11">
        <f>'[1]Peer Analysis working '!J7*10</f>
        <v>0</v>
      </c>
      <c r="D21" s="11">
        <f>'[1]Peer Analysis working '!K7*10</f>
        <v>8326</v>
      </c>
      <c r="E21" s="11">
        <f>'[1]Peer Analysis working '!L7*10</f>
        <v>8625</v>
      </c>
      <c r="F21" s="11">
        <f>'[1]Peer Analysis working '!M7*10</f>
        <v>28790</v>
      </c>
      <c r="G21" s="11"/>
    </row>
    <row r="22" spans="1:7">
      <c r="A22" s="10"/>
      <c r="B22" s="5"/>
      <c r="C22" s="10"/>
      <c r="D22" s="17"/>
      <c r="E22" s="17"/>
      <c r="F22" s="10"/>
      <c r="G22" s="10"/>
    </row>
    <row r="23" spans="1:7">
      <c r="A23" s="15" t="s">
        <v>129</v>
      </c>
      <c r="B23" s="16"/>
      <c r="C23" s="15"/>
      <c r="D23" s="15"/>
      <c r="E23" s="15"/>
      <c r="F23" s="15"/>
      <c r="G23" s="15"/>
    </row>
    <row r="24" spans="1:7">
      <c r="A24" s="26" t="s">
        <v>128</v>
      </c>
      <c r="B24" s="27"/>
      <c r="C24" s="10"/>
      <c r="D24" s="10"/>
      <c r="E24" s="10"/>
      <c r="F24" s="10"/>
      <c r="G24" s="10"/>
    </row>
    <row r="25" spans="1:7">
      <c r="A25" s="26" t="s">
        <v>69</v>
      </c>
      <c r="B25" s="25"/>
      <c r="C25" s="10"/>
      <c r="D25" s="10"/>
      <c r="E25" s="10"/>
      <c r="F25" s="10"/>
      <c r="G25" s="10"/>
    </row>
    <row r="26" spans="1:7" s="4" customFormat="1">
      <c r="A26" s="5"/>
      <c r="B26" s="5"/>
      <c r="C26" s="5"/>
      <c r="D26" s="24"/>
      <c r="E26" s="24"/>
      <c r="F26" s="24"/>
      <c r="G26" s="24"/>
    </row>
    <row r="27" spans="1:7" s="4" customFormat="1">
      <c r="A27" s="5" t="s">
        <v>70</v>
      </c>
      <c r="B27" s="23">
        <f>'[1]Peer Analysis working '!I27</f>
        <v>16042570</v>
      </c>
      <c r="C27" s="23">
        <f>'[1]Peer Analysis working '!J27</f>
        <v>15050871</v>
      </c>
      <c r="D27" s="23">
        <f>'[1]Peer Analysis working '!K27</f>
        <v>37759530</v>
      </c>
      <c r="E27" s="23">
        <f>'[1]Peer Analysis working '!L27</f>
        <v>30603181</v>
      </c>
      <c r="F27" s="23">
        <f>'[1]Peer Analysis working '!M27</f>
        <v>109971221</v>
      </c>
      <c r="G27" s="23"/>
    </row>
    <row r="28" spans="1:7" s="20" customFormat="1">
      <c r="A28" s="15" t="s">
        <v>109</v>
      </c>
      <c r="B28" s="22">
        <f>'[1]Peer Analysis working '!I28*10</f>
        <v>705.87307999999996</v>
      </c>
      <c r="C28" s="21">
        <f>'[1]Peer Analysis working '!J28*10</f>
        <v>5698.2597605999999</v>
      </c>
      <c r="D28" s="21">
        <f>'[1]Peer Analysis working '!K28*10</f>
        <v>1049.7149340000001</v>
      </c>
      <c r="E28" s="21">
        <f>'[1]Peer Analysis working '!L28*10</f>
        <v>2209.5496682000003</v>
      </c>
      <c r="F28" s="21">
        <f>'[1]Peer Analysis working '!M28*10</f>
        <v>25254.89090265</v>
      </c>
      <c r="G28" s="21"/>
    </row>
    <row r="29" spans="1:7" s="20" customFormat="1">
      <c r="A29" s="15" t="s">
        <v>74</v>
      </c>
      <c r="B29" s="22">
        <f>'[1]Peer Analysis working '!I31*10</f>
        <v>297.57307999999966</v>
      </c>
      <c r="C29" s="21">
        <f>'[1]Peer Analysis working '!J31*10</f>
        <v>3873.2597605999999</v>
      </c>
      <c r="D29" s="21">
        <f>'[1]Peer Analysis working '!K31*10</f>
        <v>6252.7149340000014</v>
      </c>
      <c r="E29" s="21">
        <f>'[1]Peer Analysis working '!L31*10</f>
        <v>9985.5496681999994</v>
      </c>
      <c r="F29" s="21">
        <f>'[1]Peer Analysis working '!M31*10</f>
        <v>-32545.109097349996</v>
      </c>
      <c r="G29" s="21"/>
    </row>
    <row r="30" spans="1:7">
      <c r="A30" s="10"/>
      <c r="B30" s="5"/>
      <c r="C30" s="10"/>
      <c r="D30" s="17"/>
      <c r="E30" s="10"/>
      <c r="F30" s="10"/>
      <c r="G30" s="10"/>
    </row>
    <row r="31" spans="1:7">
      <c r="A31" s="10" t="s">
        <v>127</v>
      </c>
      <c r="B31" s="12">
        <f>'[1]Peer Analysis working '!I35</f>
        <v>11.702127659574469</v>
      </c>
      <c r="C31" s="12">
        <f>'[1]Peer Analysis working '!J35</f>
        <v>7.2514843899636086</v>
      </c>
      <c r="D31" s="12">
        <f>'[1]Peer Analysis working '!K35</f>
        <v>3.5504469987228608</v>
      </c>
      <c r="E31" s="12">
        <f>'[1]Peer Analysis working '!L35</f>
        <v>22.147239263803684</v>
      </c>
      <c r="F31" s="12">
        <f>'[1]Peer Analysis working '!M35</f>
        <v>7.3206885559451704</v>
      </c>
      <c r="G31" s="12"/>
    </row>
    <row r="32" spans="1:7">
      <c r="A32" s="10" t="s">
        <v>86</v>
      </c>
      <c r="B32" s="19">
        <f>'[1]Peer Analysis working '!I44</f>
        <v>3.4090909090909088E-2</v>
      </c>
      <c r="C32" s="18">
        <f>'[1]Peer Analysis working '!J44</f>
        <v>0.10565240359218171</v>
      </c>
      <c r="D32" s="18">
        <f>'[1]Peer Analysis working '!K44</f>
        <v>0</v>
      </c>
      <c r="E32" s="18">
        <f>'[1]Peer Analysis working '!L44</f>
        <v>0</v>
      </c>
      <c r="F32" s="18">
        <f>'[1]Peer Analysis working '!M44</f>
        <v>6.531678641410843E-2</v>
      </c>
      <c r="G32" s="18"/>
    </row>
    <row r="33" spans="1:7">
      <c r="A33" s="10" t="s">
        <v>126</v>
      </c>
      <c r="B33" s="12">
        <f>'[1]Peer Analysis working '!I36</f>
        <v>0.10369903069514348</v>
      </c>
      <c r="C33" s="12">
        <f>'[1]Peer Analysis working '!J36</f>
        <v>0.11984730073192279</v>
      </c>
      <c r="D33" s="12">
        <f>'[1]Peer Analysis working '!K36</f>
        <v>3.3310536413543618E-2</v>
      </c>
      <c r="E33" s="12">
        <f>'[1]Peer Analysis working '!L36</f>
        <v>3.6471446910849581E-2</v>
      </c>
      <c r="F33" s="12">
        <f>'[1]Peer Analysis working '!M36</f>
        <v>9.8617247462415569E-2</v>
      </c>
      <c r="G33" s="12"/>
    </row>
    <row r="34" spans="1:7">
      <c r="A34" s="10" t="s">
        <v>125</v>
      </c>
      <c r="B34" s="12">
        <f>'[1]Peer Analysis working '!I37</f>
        <v>0.12729854551676908</v>
      </c>
      <c r="C34" s="12">
        <f>'[1]Peer Analysis working '!J37</f>
        <v>0.44281007895278379</v>
      </c>
      <c r="D34" s="12">
        <f>'[1]Peer Analysis working '!K37</f>
        <v>0.67017309046087903</v>
      </c>
      <c r="E34" s="12">
        <f>'[1]Peer Analysis working '!L37</f>
        <v>1.021121757664383</v>
      </c>
      <c r="F34" s="12">
        <f>'[1]Peer Analysis working '!M37</f>
        <v>-0.59291508648843139</v>
      </c>
      <c r="G34" s="12"/>
    </row>
    <row r="35" spans="1:7">
      <c r="A35" s="10"/>
      <c r="B35" s="5"/>
      <c r="C35" s="10"/>
      <c r="D35" s="17"/>
      <c r="E35" s="17"/>
      <c r="F35" s="10"/>
      <c r="G35" s="10"/>
    </row>
    <row r="36" spans="1:7">
      <c r="A36" s="15" t="s">
        <v>124</v>
      </c>
      <c r="B36" s="16"/>
      <c r="C36" s="15"/>
      <c r="D36" s="15"/>
      <c r="E36" s="15"/>
      <c r="F36" s="15"/>
      <c r="G36" s="15"/>
    </row>
    <row r="37" spans="1:7">
      <c r="A37" s="15" t="s">
        <v>143</v>
      </c>
      <c r="B37" s="11" t="e">
        <f>#REF!</f>
        <v>#REF!</v>
      </c>
      <c r="C37" s="11">
        <f>'[1]Peer Analysis working '!J32</f>
        <v>378.6</v>
      </c>
      <c r="D37" s="11">
        <f>'[1]Peer Analysis working '!K32</f>
        <v>27.8</v>
      </c>
      <c r="E37" s="11">
        <f>'[1]Peer Analysis working '!L32</f>
        <v>72.2</v>
      </c>
      <c r="F37" s="11">
        <f>'[1]Peer Analysis working '!M32</f>
        <v>229.65</v>
      </c>
      <c r="G37" s="11"/>
    </row>
    <row r="38" spans="1:7">
      <c r="A38" s="10" t="s">
        <v>123</v>
      </c>
      <c r="B38" s="11">
        <f>B18</f>
        <v>6806.94</v>
      </c>
      <c r="C38" s="11">
        <f>C18</f>
        <v>47546</v>
      </c>
      <c r="D38" s="11">
        <f>D18</f>
        <v>31513</v>
      </c>
      <c r="E38" s="11">
        <f>E18</f>
        <v>60583</v>
      </c>
      <c r="F38" s="11">
        <f>F18</f>
        <v>256090</v>
      </c>
      <c r="G38" s="11"/>
    </row>
    <row r="39" spans="1:7">
      <c r="A39" s="10" t="s">
        <v>122</v>
      </c>
      <c r="B39" s="11">
        <f>'[1]Peer Analysis working '!I34</f>
        <v>424.30483395116869</v>
      </c>
      <c r="C39" s="11">
        <f>'[1]Peer Analysis working '!J34</f>
        <v>3159.0198334701026</v>
      </c>
      <c r="D39" s="11">
        <f>'[1]Peer Analysis working '!K34</f>
        <v>834.57076928658807</v>
      </c>
      <c r="E39" s="11">
        <f>'[1]Peer Analysis working '!L34</f>
        <v>1979.6308102742653</v>
      </c>
      <c r="F39" s="11">
        <f>'[1]Peer Analysis working '!M34</f>
        <v>2328.7001605629166</v>
      </c>
      <c r="G39" s="11"/>
    </row>
    <row r="40" spans="1:7">
      <c r="A40" s="10" t="s">
        <v>121</v>
      </c>
      <c r="B40" s="9">
        <f>'[1]Peer Analysis working '!I38</f>
        <v>9.1637358343103104E-2</v>
      </c>
      <c r="C40" s="9">
        <f>'[1]Peer Analysis working '!J38</f>
        <v>0.16579733310898917</v>
      </c>
      <c r="D40" s="9">
        <f>'[1]Peer Analysis working '!K38</f>
        <v>9.392948941706597E-2</v>
      </c>
      <c r="E40" s="9">
        <f>'[1]Peer Analysis working '!L38</f>
        <v>1.6456761797864088E-2</v>
      </c>
      <c r="F40" s="9">
        <f>'[1]Peer Analysis working '!M38</f>
        <v>0.13475731188254128</v>
      </c>
      <c r="G40" s="9"/>
    </row>
    <row r="41" spans="1:7">
      <c r="A41" s="10" t="s">
        <v>120</v>
      </c>
      <c r="B41" s="9">
        <f>'[1]Peer Analysis working '!I39</f>
        <v>0.15966919879744115</v>
      </c>
      <c r="C41" s="9">
        <f>'[1]Peer Analysis working '!J39</f>
        <v>0.23463756949794889</v>
      </c>
      <c r="D41" s="9">
        <f>'[1]Peer Analysis working '!K39</f>
        <v>0.16266310441067727</v>
      </c>
      <c r="E41" s="9">
        <f>'[1]Peer Analysis working '!L39</f>
        <v>7.0130917016226549E-2</v>
      </c>
      <c r="F41" s="9">
        <f>'[1]Peer Analysis working '!M39</f>
        <v>0.12677259525029899</v>
      </c>
      <c r="G41" s="9"/>
    </row>
    <row r="42" spans="1:7">
      <c r="A42" s="10" t="s">
        <v>119</v>
      </c>
      <c r="B42" s="12">
        <f>'[1]Peer Analysis working '!I40</f>
        <v>0.19664505085895492</v>
      </c>
      <c r="C42" s="12">
        <f>'[1]Peer Analysis working '!J40</f>
        <v>0.68930559505911992</v>
      </c>
      <c r="D42" s="12">
        <f>'[1]Peer Analysis working '!K40</f>
        <v>0.63170644710638169</v>
      </c>
      <c r="E42" s="12">
        <f>'[1]Peer Analysis working '!L40</f>
        <v>0.8970505519229417</v>
      </c>
      <c r="F42" s="12">
        <f>'[1]Peer Analysis working '!M40</f>
        <v>0.46451642047251207</v>
      </c>
      <c r="G42" s="12"/>
    </row>
    <row r="43" spans="1:7">
      <c r="A43" s="10" t="s">
        <v>118</v>
      </c>
      <c r="B43" s="13">
        <f>'[1]Peer Analysis working '!I45</f>
        <v>66.342013720741051</v>
      </c>
      <c r="C43" s="13">
        <f>'[1]Peer Analysis working '!J45</f>
        <v>65.062573645930684</v>
      </c>
      <c r="D43" s="13">
        <f>'[1]Peer Analysis working '!K45</f>
        <v>86.592976250631622</v>
      </c>
      <c r="E43" s="13">
        <f>'[1]Peer Analysis working '!L45</f>
        <v>107.90185790620825</v>
      </c>
      <c r="F43" s="13">
        <f>'[1]Peer Analysis working '!M45</f>
        <v>56.711275240547494</v>
      </c>
      <c r="G43" s="13"/>
    </row>
    <row r="44" spans="1:7">
      <c r="A44" s="10" t="s">
        <v>89</v>
      </c>
      <c r="B44" s="13">
        <f>'[1]Peer Analysis working '!I47</f>
        <v>0</v>
      </c>
      <c r="C44" s="13">
        <f>'[1]Peer Analysis working '!J47</f>
        <v>0</v>
      </c>
      <c r="D44" s="13">
        <f>'[1]Peer Analysis working '!K47</f>
        <v>10.79</v>
      </c>
      <c r="E44" s="13">
        <f>'[1]Peer Analysis working '!L47</f>
        <v>0</v>
      </c>
      <c r="F44" s="13">
        <f>'[1]Peer Analysis working '!M47</f>
        <v>16.899999999999999</v>
      </c>
      <c r="G44" s="13"/>
    </row>
    <row r="45" spans="1:7">
      <c r="A45" s="10" t="s">
        <v>117</v>
      </c>
      <c r="B45" s="14">
        <f>'[1]Peer Analysis working '!I46</f>
        <v>6242.8348665021331</v>
      </c>
      <c r="C45" s="13">
        <f>'[1]Peer Analysis working '!J46</f>
        <v>17.260000000000002</v>
      </c>
      <c r="D45" s="13">
        <f>'[1]Peer Analysis working '!K46</f>
        <v>29.69</v>
      </c>
      <c r="E45" s="13">
        <f>'[1]Peer Analysis working '!L46</f>
        <v>50.87</v>
      </c>
      <c r="F45" s="13">
        <f>'[1]Peer Analysis working '!M46</f>
        <v>51.52</v>
      </c>
      <c r="G45" s="13"/>
    </row>
    <row r="46" spans="1:7">
      <c r="A46" s="10" t="s">
        <v>116</v>
      </c>
      <c r="B46" s="14">
        <f>'[1]Peer Analysis working '!I48</f>
        <v>-6176.4928527813918</v>
      </c>
      <c r="C46" s="13">
        <f>'[1]Peer Analysis working '!J48</f>
        <v>47.802573645930678</v>
      </c>
      <c r="D46" s="13">
        <f>'[1]Peer Analysis working '!K48</f>
        <v>67.692976250631631</v>
      </c>
      <c r="E46" s="13">
        <f>'[1]Peer Analysis working '!L48</f>
        <v>57.031857906208252</v>
      </c>
      <c r="F46" s="13">
        <f>'[1]Peer Analysis working '!M48</f>
        <v>22.091275240547482</v>
      </c>
      <c r="G46" s="13"/>
    </row>
    <row r="47" spans="1:7">
      <c r="A47" s="10" t="s">
        <v>91</v>
      </c>
      <c r="B47" s="13">
        <f>'[1]Peer Analysis working '!I49</f>
        <v>38.568782865166789</v>
      </c>
      <c r="C47" s="13">
        <f>'[1]Peer Analysis working '!J49</f>
        <v>104.5124131485921</v>
      </c>
      <c r="D47" s="13">
        <f>'[1]Peer Analysis working '!K49</f>
        <v>-3.1679695627619462</v>
      </c>
      <c r="E47" s="13">
        <f>'[1]Peer Analysis working '!L49</f>
        <v>102.35551571398437</v>
      </c>
      <c r="F47" s="13">
        <f>'[1]Peer Analysis working '!M49</f>
        <v>168.22119076658987</v>
      </c>
      <c r="G47" s="13"/>
    </row>
    <row r="48" spans="1:7">
      <c r="A48" s="10" t="s">
        <v>115</v>
      </c>
      <c r="B48" s="12">
        <f>'[1]Peer Analysis working '!I41</f>
        <v>0.2653350844873027</v>
      </c>
      <c r="C48" s="12">
        <f>'[1]Peer Analysis working '!J41</f>
        <v>0</v>
      </c>
      <c r="D48" s="12">
        <f>'[1]Peer Analysis working '!K41</f>
        <v>0.38774474026592198</v>
      </c>
      <c r="E48" s="12">
        <f>'[1]Peer Analysis working '!L41</f>
        <v>0.15337635970486771</v>
      </c>
      <c r="F48" s="12">
        <f>'[1]Peer Analysis working '!M41</f>
        <v>0.14596430942246866</v>
      </c>
      <c r="G48" s="12"/>
    </row>
    <row r="49" spans="1:7">
      <c r="A49" s="10" t="s">
        <v>114</v>
      </c>
      <c r="B49" s="12">
        <f>'[1]Peer Analysis working '!I42</f>
        <v>-5.998289980519883E-2</v>
      </c>
      <c r="C49" s="12">
        <f>'[1]Peer Analysis working '!J42</f>
        <v>-3.8383880873259578E-2</v>
      </c>
      <c r="D49" s="12">
        <f>'[1]Peer Analysis working '!K42</f>
        <v>0.16510646399898457</v>
      </c>
      <c r="E49" s="12">
        <f>'[1]Peer Analysis working '!L42</f>
        <v>0.128352838254956</v>
      </c>
      <c r="F49" s="12">
        <f>'[1]Peer Analysis working '!M42</f>
        <v>-0.22570190167519233</v>
      </c>
      <c r="G49" s="12"/>
    </row>
    <row r="50" spans="1:7">
      <c r="A50" s="10" t="s">
        <v>110</v>
      </c>
      <c r="B50" s="11">
        <f>'[1]Peer Analysis working '!I51</f>
        <v>3.7837018647884131</v>
      </c>
      <c r="C50" s="11">
        <f>'[1]Peer Analysis working '!J51</f>
        <v>158.70422535211267</v>
      </c>
      <c r="D50" s="11">
        <f>'[1]Peer Analysis working '!K51</f>
        <v>2.2760347129506009</v>
      </c>
      <c r="E50" s="11">
        <f>'[1]Peer Analysis working '!L51</f>
        <v>3.4877505567928733</v>
      </c>
      <c r="F50" s="11">
        <f>'[1]Peer Analysis working '!M51</f>
        <v>10.687242798353909</v>
      </c>
      <c r="G50" s="11"/>
    </row>
    <row r="51" spans="1:7">
      <c r="A51" s="10" t="s">
        <v>113</v>
      </c>
      <c r="B51" s="9">
        <f>'[1]Peer Analysis working '!I50</f>
        <v>0.19180342391424715</v>
      </c>
      <c r="C51" s="9">
        <f>'[1]Peer Analysis working '!J50</f>
        <v>0</v>
      </c>
      <c r="D51" s="9">
        <f>'[1]Peer Analysis working '!K50</f>
        <v>0.24519191423193387</v>
      </c>
      <c r="E51" s="9">
        <f>'[1]Peer Analysis working '!L50</f>
        <v>0.14496340938441668</v>
      </c>
      <c r="F51" s="9">
        <f>'[1]Peer Analysis working '!M50</f>
        <v>0.13001605136436598</v>
      </c>
      <c r="G51" s="9"/>
    </row>
  </sheetData>
  <mergeCells count="2">
    <mergeCell ref="A1:F1"/>
    <mergeCell ref="A2:A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85"/>
  <sheetViews>
    <sheetView tabSelected="1" zoomScale="70" zoomScaleNormal="70" zoomScaleSheetLayoutView="75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X80" sqref="X80:Y80"/>
    </sheetView>
  </sheetViews>
  <sheetFormatPr defaultColWidth="8.81640625" defaultRowHeight="15" customHeight="1"/>
  <cols>
    <col min="1" max="1" width="52.26953125" customWidth="1"/>
    <col min="2" max="5" width="18.7265625" hidden="1" customWidth="1"/>
    <col min="6" max="11" width="15.7265625" customWidth="1"/>
    <col min="12" max="12" width="15.7265625" style="58" customWidth="1"/>
    <col min="13" max="13" width="21.81640625" customWidth="1"/>
    <col min="14" max="14" width="51.26953125" customWidth="1"/>
    <col min="15" max="18" width="18.7265625" hidden="1" customWidth="1"/>
    <col min="19" max="25" width="15.7265625" customWidth="1"/>
  </cols>
  <sheetData>
    <row r="1" spans="1:25" ht="20.149999999999999" customHeight="1" thickBot="1">
      <c r="A1" s="155" t="s">
        <v>148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</row>
    <row r="2" spans="1:25" s="138" customFormat="1" ht="20.149999999999999" customHeight="1" thickBot="1">
      <c r="A2" s="152" t="s">
        <v>181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4"/>
      <c r="M2" s="140"/>
      <c r="N2" s="152" t="s">
        <v>182</v>
      </c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4"/>
    </row>
    <row r="3" spans="1:25" ht="15" customHeight="1">
      <c r="A3" s="141" t="s">
        <v>0</v>
      </c>
      <c r="B3" s="142" t="s">
        <v>34</v>
      </c>
      <c r="C3" s="142" t="s">
        <v>35</v>
      </c>
      <c r="D3" s="142" t="s">
        <v>33</v>
      </c>
      <c r="E3" s="142" t="s">
        <v>1</v>
      </c>
      <c r="F3" s="142" t="s">
        <v>2</v>
      </c>
      <c r="G3" s="142" t="s">
        <v>51</v>
      </c>
      <c r="H3" s="142" t="s">
        <v>152</v>
      </c>
      <c r="I3" s="142" t="s">
        <v>170</v>
      </c>
      <c r="J3" s="142" t="s">
        <v>173</v>
      </c>
      <c r="K3" s="142" t="s">
        <v>177</v>
      </c>
      <c r="L3" s="142" t="s">
        <v>192</v>
      </c>
      <c r="M3" s="56"/>
      <c r="N3" s="141" t="s">
        <v>0</v>
      </c>
      <c r="O3" s="142" t="s">
        <v>34</v>
      </c>
      <c r="P3" s="142" t="s">
        <v>35</v>
      </c>
      <c r="Q3" s="142" t="s">
        <v>33</v>
      </c>
      <c r="R3" s="142" t="s">
        <v>1</v>
      </c>
      <c r="S3" s="142" t="s">
        <v>2</v>
      </c>
      <c r="T3" s="142" t="s">
        <v>51</v>
      </c>
      <c r="U3" s="142" t="s">
        <v>152</v>
      </c>
      <c r="V3" s="142" t="s">
        <v>170</v>
      </c>
      <c r="W3" s="142" t="s">
        <v>173</v>
      </c>
      <c r="X3" s="142" t="s">
        <v>177</v>
      </c>
      <c r="Y3" s="142" t="s">
        <v>192</v>
      </c>
    </row>
    <row r="4" spans="1:25" ht="15" customHeight="1">
      <c r="A4" s="101" t="s">
        <v>183</v>
      </c>
      <c r="B4" s="123">
        <v>661.98050799999999</v>
      </c>
      <c r="C4" s="102">
        <v>710.73900000000003</v>
      </c>
      <c r="D4" s="102">
        <v>1679.1990000000001</v>
      </c>
      <c r="E4" s="102">
        <v>2406.3879999999999</v>
      </c>
      <c r="F4" s="102">
        <v>2577.1469999999999</v>
      </c>
      <c r="G4" s="102">
        <v>2501.7470000000003</v>
      </c>
      <c r="H4" s="102">
        <v>4106.79</v>
      </c>
      <c r="I4" s="102">
        <v>5890.6450000000004</v>
      </c>
      <c r="J4" s="102">
        <v>6218.3530000000001</v>
      </c>
      <c r="K4" s="102">
        <v>6193.1620000000003</v>
      </c>
      <c r="L4" s="102">
        <v>3062.4029999999998</v>
      </c>
      <c r="M4" s="57"/>
      <c r="N4" s="101" t="s">
        <v>3</v>
      </c>
      <c r="O4" s="102">
        <v>449.52200000000005</v>
      </c>
      <c r="P4" s="102">
        <v>449.52200000000005</v>
      </c>
      <c r="Q4" s="102">
        <v>449.52200000000005</v>
      </c>
      <c r="R4" s="102">
        <v>449.52200000000005</v>
      </c>
      <c r="S4" s="102">
        <v>449.52200000000005</v>
      </c>
      <c r="T4" s="102">
        <v>625.73199999999997</v>
      </c>
      <c r="U4" s="102">
        <v>638.29999999999995</v>
      </c>
      <c r="V4" s="102">
        <v>678.97500000000002</v>
      </c>
      <c r="W4" s="102">
        <v>680.42</v>
      </c>
      <c r="X4" s="102">
        <v>684.48900000000003</v>
      </c>
      <c r="Y4" s="102">
        <v>685.846</v>
      </c>
    </row>
    <row r="5" spans="1:25" ht="15" customHeight="1">
      <c r="A5" s="124" t="s">
        <v>36</v>
      </c>
      <c r="B5" s="125"/>
      <c r="C5" s="125">
        <f t="shared" ref="C5:E5" si="0">C4/B4-1</f>
        <v>7.3655479898208753E-2</v>
      </c>
      <c r="D5" s="125">
        <f t="shared" si="0"/>
        <v>1.362609903213416</v>
      </c>
      <c r="E5" s="125">
        <f t="shared" si="0"/>
        <v>0.43305707066285759</v>
      </c>
      <c r="F5" s="125">
        <f t="shared" ref="F5:I5" si="1">F4/E4-1</f>
        <v>7.0960709578006487E-2</v>
      </c>
      <c r="G5" s="125">
        <f t="shared" si="1"/>
        <v>-2.9257159176406922E-2</v>
      </c>
      <c r="H5" s="125">
        <f t="shared" si="1"/>
        <v>0.64156887167247501</v>
      </c>
      <c r="I5" s="125">
        <f t="shared" si="1"/>
        <v>0.43436723085426832</v>
      </c>
      <c r="J5" s="125">
        <f>J4/I4-1</f>
        <v>5.5631938437980866E-2</v>
      </c>
      <c r="K5" s="125">
        <f>K4/J4-1</f>
        <v>-4.0510726875749858E-3</v>
      </c>
      <c r="L5" s="125"/>
      <c r="M5" s="56"/>
      <c r="N5" s="101" t="s">
        <v>146</v>
      </c>
      <c r="O5" s="102">
        <v>933.43399999999997</v>
      </c>
      <c r="P5" s="102">
        <v>957.75400000000013</v>
      </c>
      <c r="Q5" s="102">
        <v>983.33600000000001</v>
      </c>
      <c r="R5" s="102">
        <v>547.55799999999999</v>
      </c>
      <c r="S5" s="102">
        <v>-58.971000000000004</v>
      </c>
      <c r="T5" s="102">
        <v>3725.8669999999997</v>
      </c>
      <c r="U5" s="102">
        <v>3878.7589999999996</v>
      </c>
      <c r="V5" s="102">
        <v>4922.5360000000001</v>
      </c>
      <c r="W5" s="102">
        <v>5927.5439999999999</v>
      </c>
      <c r="X5" s="102">
        <v>6681.2809999999999</v>
      </c>
      <c r="Y5" s="102">
        <v>7076.0429999999997</v>
      </c>
    </row>
    <row r="6" spans="1:25" ht="15" customHeight="1">
      <c r="A6" s="124" t="s">
        <v>37</v>
      </c>
      <c r="B6" s="126"/>
      <c r="C6" s="126"/>
      <c r="D6" s="126"/>
      <c r="E6" s="125">
        <f t="shared" ref="E6:I6" si="2">((E4/B4)^(1/3)-1)</f>
        <v>0.53758860024742661</v>
      </c>
      <c r="F6" s="125">
        <f t="shared" si="2"/>
        <v>0.53630112346241821</v>
      </c>
      <c r="G6" s="125">
        <f t="shared" si="2"/>
        <v>0.1421252690902961</v>
      </c>
      <c r="H6" s="125">
        <f t="shared" si="2"/>
        <v>0.195030384155362</v>
      </c>
      <c r="I6" s="125">
        <f t="shared" si="2"/>
        <v>0.31726924774036247</v>
      </c>
      <c r="J6" s="125">
        <f>((J4/G4)^(1/3)-1)</f>
        <v>0.3545987219209894</v>
      </c>
      <c r="K6" s="125">
        <f>((K4/H4)^(1/3)-1)</f>
        <v>0.1467532549553594</v>
      </c>
      <c r="L6" s="125"/>
      <c r="M6" s="47"/>
      <c r="N6" s="103" t="s">
        <v>4</v>
      </c>
      <c r="O6" s="104">
        <f t="shared" ref="O6:V6" si="3">SUM(O4:O5)</f>
        <v>1382.9560000000001</v>
      </c>
      <c r="P6" s="104">
        <f t="shared" si="3"/>
        <v>1407.2760000000003</v>
      </c>
      <c r="Q6" s="104">
        <f t="shared" si="3"/>
        <v>1432.8580000000002</v>
      </c>
      <c r="R6" s="104">
        <f t="shared" si="3"/>
        <v>997.08</v>
      </c>
      <c r="S6" s="104">
        <f t="shared" si="3"/>
        <v>390.55100000000004</v>
      </c>
      <c r="T6" s="104">
        <f t="shared" si="3"/>
        <v>4351.5990000000002</v>
      </c>
      <c r="U6" s="104">
        <f t="shared" si="3"/>
        <v>4517.0589999999993</v>
      </c>
      <c r="V6" s="104">
        <f t="shared" si="3"/>
        <v>5601.5110000000004</v>
      </c>
      <c r="W6" s="104">
        <f>SUM(W4:W5)</f>
        <v>6607.9639999999999</v>
      </c>
      <c r="X6" s="104">
        <f>SUM(X4:X5)</f>
        <v>7365.77</v>
      </c>
      <c r="Y6" s="160">
        <f>SUM(Y4:Y5)</f>
        <v>7761.8889999999992</v>
      </c>
    </row>
    <row r="7" spans="1:25" ht="15" customHeight="1">
      <c r="A7" s="139" t="s">
        <v>38</v>
      </c>
      <c r="B7" s="105"/>
      <c r="C7" s="105">
        <f>SUM(C8:C13)</f>
        <v>649.77800000000002</v>
      </c>
      <c r="D7" s="105">
        <f t="shared" ref="D7:H7" si="4">SUM(D8:D13)</f>
        <v>1508.116</v>
      </c>
      <c r="E7" s="105">
        <f t="shared" si="4"/>
        <v>2219.6060000000002</v>
      </c>
      <c r="F7" s="105">
        <f t="shared" si="4"/>
        <v>2287.462</v>
      </c>
      <c r="G7" s="105">
        <f t="shared" si="4"/>
        <v>2177.2980000000002</v>
      </c>
      <c r="H7" s="105">
        <f t="shared" si="4"/>
        <v>3485</v>
      </c>
      <c r="I7" s="105">
        <f>SUM(I8:I13)</f>
        <v>4502.4790000000003</v>
      </c>
      <c r="J7" s="105">
        <f>SUM(J8:J13)</f>
        <v>4578.2080000000005</v>
      </c>
      <c r="K7" s="105">
        <f>SUM(K8:K13)</f>
        <v>4869.3100000000004</v>
      </c>
      <c r="L7" s="105">
        <f>SUM(L8:L13)</f>
        <v>2376.9480000000003</v>
      </c>
      <c r="M7" s="46"/>
      <c r="N7" s="101"/>
      <c r="O7" s="105"/>
      <c r="P7" s="105"/>
      <c r="Q7" s="105"/>
      <c r="R7" s="105"/>
      <c r="S7" s="105"/>
      <c r="T7" s="105"/>
      <c r="U7" s="105"/>
      <c r="V7" s="101"/>
      <c r="W7" s="101"/>
      <c r="X7" s="101"/>
      <c r="Y7" s="101"/>
    </row>
    <row r="8" spans="1:25" ht="15" customHeight="1">
      <c r="A8" s="109" t="s">
        <v>39</v>
      </c>
      <c r="B8" s="123">
        <v>256.200064</v>
      </c>
      <c r="C8" s="102">
        <v>245.93400000000003</v>
      </c>
      <c r="D8" s="102">
        <v>953.32500000000005</v>
      </c>
      <c r="E8" s="102">
        <v>1653.4670000000001</v>
      </c>
      <c r="F8" s="102">
        <v>1607.9360000000001</v>
      </c>
      <c r="G8" s="102">
        <v>1469.3000000000002</v>
      </c>
      <c r="H8" s="102">
        <v>2641.1819999999998</v>
      </c>
      <c r="I8" s="102">
        <v>3392.6610000000001</v>
      </c>
      <c r="J8" s="102">
        <v>3201.0680000000002</v>
      </c>
      <c r="K8" s="102">
        <v>3483.9360000000001</v>
      </c>
      <c r="L8" s="102">
        <v>1641.2950000000001</v>
      </c>
      <c r="M8" s="46"/>
      <c r="N8" s="101" t="s">
        <v>5</v>
      </c>
      <c r="O8" s="102">
        <v>1734.15</v>
      </c>
      <c r="P8" s="102">
        <v>3489.5449999999996</v>
      </c>
      <c r="Q8" s="102">
        <v>4337.0379999999996</v>
      </c>
      <c r="R8" s="102">
        <v>3578.154</v>
      </c>
      <c r="S8" s="102">
        <v>2785.0529999999999</v>
      </c>
      <c r="T8" s="102">
        <v>2143.4499999999998</v>
      </c>
      <c r="U8" s="102">
        <v>2065.1099999999997</v>
      </c>
      <c r="V8" s="102">
        <v>1426.644</v>
      </c>
      <c r="W8" s="102">
        <v>1047.693</v>
      </c>
      <c r="X8" s="102">
        <v>773.61099999999999</v>
      </c>
      <c r="Y8" s="102">
        <v>599.55999999999995</v>
      </c>
    </row>
    <row r="9" spans="1:25" ht="15" customHeight="1">
      <c r="A9" s="109" t="s">
        <v>144</v>
      </c>
      <c r="B9" s="123">
        <v>104.92399500000001</v>
      </c>
      <c r="C9" s="102">
        <v>222.18</v>
      </c>
      <c r="D9" s="102">
        <v>368.16199999999992</v>
      </c>
      <c r="E9" s="102">
        <v>3.5190000000000001</v>
      </c>
      <c r="F9" s="102">
        <v>0</v>
      </c>
      <c r="G9" s="102">
        <v>0</v>
      </c>
      <c r="H9" s="105">
        <v>0</v>
      </c>
      <c r="I9" s="105">
        <v>0</v>
      </c>
      <c r="J9" s="127">
        <v>0</v>
      </c>
      <c r="K9" s="127">
        <v>0</v>
      </c>
      <c r="L9" s="127">
        <v>0</v>
      </c>
      <c r="M9" s="48"/>
      <c r="N9" s="101" t="s">
        <v>6</v>
      </c>
      <c r="O9" s="102">
        <v>218.21199999999999</v>
      </c>
      <c r="P9" s="102">
        <v>211.55100000000002</v>
      </c>
      <c r="Q9" s="102">
        <v>514.19100000000003</v>
      </c>
      <c r="R9" s="102">
        <v>1102.415</v>
      </c>
      <c r="S9" s="102">
        <v>1273.758</v>
      </c>
      <c r="T9" s="102">
        <v>550</v>
      </c>
      <c r="U9" s="102">
        <v>623.41999999999996</v>
      </c>
      <c r="V9" s="102">
        <v>390.29700000000003</v>
      </c>
      <c r="W9" s="102">
        <v>274.58999999999997</v>
      </c>
      <c r="X9" s="102">
        <v>536.69100000000003</v>
      </c>
      <c r="Y9" s="102">
        <v>416.577</v>
      </c>
    </row>
    <row r="10" spans="1:25" ht="15" customHeight="1">
      <c r="A10" s="109" t="s">
        <v>53</v>
      </c>
      <c r="B10" s="123">
        <v>25.409524999999999</v>
      </c>
      <c r="C10" s="102">
        <v>9.8109999999999999</v>
      </c>
      <c r="D10" s="102">
        <v>-216.565</v>
      </c>
      <c r="E10" s="102">
        <v>-136.28</v>
      </c>
      <c r="F10" s="102">
        <v>23.451000000000001</v>
      </c>
      <c r="G10" s="102">
        <v>123.452</v>
      </c>
      <c r="H10" s="102">
        <v>-41.611000000000004</v>
      </c>
      <c r="I10" s="102">
        <v>-105.035</v>
      </c>
      <c r="J10" s="102">
        <v>68.814999999999998</v>
      </c>
      <c r="K10" s="102">
        <v>-39.07</v>
      </c>
      <c r="L10" s="102">
        <v>-24.509</v>
      </c>
      <c r="M10" s="49"/>
      <c r="N10" s="103" t="s">
        <v>22</v>
      </c>
      <c r="O10" s="104">
        <f t="shared" ref="O10:Q10" si="5">SUM(O8:O9)</f>
        <v>1952.3620000000001</v>
      </c>
      <c r="P10" s="104">
        <f t="shared" si="5"/>
        <v>3701.0959999999995</v>
      </c>
      <c r="Q10" s="104">
        <f t="shared" si="5"/>
        <v>4851.2289999999994</v>
      </c>
      <c r="R10" s="104">
        <f t="shared" ref="R10:V10" si="6">SUM(R8:R9)</f>
        <v>4680.5689999999995</v>
      </c>
      <c r="S10" s="104">
        <f t="shared" si="6"/>
        <v>4058.8109999999997</v>
      </c>
      <c r="T10" s="104">
        <f t="shared" si="6"/>
        <v>2693.45</v>
      </c>
      <c r="U10" s="104">
        <f t="shared" si="6"/>
        <v>2688.5299999999997</v>
      </c>
      <c r="V10" s="104">
        <f t="shared" si="6"/>
        <v>1816.941</v>
      </c>
      <c r="W10" s="104">
        <f>SUM(W8:W9)</f>
        <v>1322.2829999999999</v>
      </c>
      <c r="X10" s="104">
        <f>SUM(X8:X9)</f>
        <v>1310.3020000000001</v>
      </c>
      <c r="Y10" s="104">
        <f>SUM(Y8:Y9)</f>
        <v>1016.1369999999999</v>
      </c>
    </row>
    <row r="11" spans="1:25" ht="15" customHeight="1">
      <c r="A11" s="109" t="s">
        <v>58</v>
      </c>
      <c r="B11" s="123">
        <v>54.952036</v>
      </c>
      <c r="C11" s="102">
        <v>62.452999999999996</v>
      </c>
      <c r="D11" s="102">
        <v>30.224000000000004</v>
      </c>
      <c r="E11" s="102">
        <v>0</v>
      </c>
      <c r="F11" s="102">
        <v>0</v>
      </c>
      <c r="G11" s="102">
        <v>0</v>
      </c>
      <c r="H11" s="127" t="s">
        <v>52</v>
      </c>
      <c r="I11" s="127">
        <v>0</v>
      </c>
      <c r="J11" s="127">
        <v>0</v>
      </c>
      <c r="K11" s="127">
        <v>0</v>
      </c>
      <c r="L11" s="127">
        <v>0</v>
      </c>
      <c r="M11" s="48"/>
      <c r="N11" s="106"/>
      <c r="O11" s="107"/>
      <c r="P11" s="107"/>
      <c r="Q11" s="107"/>
      <c r="R11" s="107"/>
      <c r="S11" s="107"/>
      <c r="T11" s="105"/>
      <c r="U11" s="105"/>
      <c r="V11" s="101"/>
      <c r="W11" s="101"/>
      <c r="X11" s="101"/>
      <c r="Y11" s="101"/>
    </row>
    <row r="12" spans="1:25" ht="15" customHeight="1">
      <c r="A12" s="109" t="s">
        <v>40</v>
      </c>
      <c r="B12" s="123">
        <v>83.271557000000001</v>
      </c>
      <c r="C12" s="102">
        <v>69.751000000000005</v>
      </c>
      <c r="D12" s="102">
        <v>149.65299999999999</v>
      </c>
      <c r="E12" s="102">
        <v>311.63200000000001</v>
      </c>
      <c r="F12" s="102">
        <v>308.06799999999998</v>
      </c>
      <c r="G12" s="102">
        <v>242.29400000000001</v>
      </c>
      <c r="H12" s="102">
        <v>344.346</v>
      </c>
      <c r="I12" s="102">
        <v>442.98700000000002</v>
      </c>
      <c r="J12" s="102">
        <v>595.70899999999995</v>
      </c>
      <c r="K12" s="102">
        <v>658.27300000000002</v>
      </c>
      <c r="L12" s="102">
        <v>355.822</v>
      </c>
      <c r="M12" s="46"/>
      <c r="N12" s="103" t="s">
        <v>24</v>
      </c>
      <c r="O12" s="104">
        <f t="shared" ref="O12:V12" si="7">O6+O8+O52</f>
        <v>3418.3530000000001</v>
      </c>
      <c r="P12" s="104">
        <f t="shared" si="7"/>
        <v>5201.6139999999996</v>
      </c>
      <c r="Q12" s="104">
        <f t="shared" si="7"/>
        <v>5858.125</v>
      </c>
      <c r="R12" s="104">
        <f t="shared" si="7"/>
        <v>4625.1020000000008</v>
      </c>
      <c r="S12" s="104">
        <f t="shared" si="7"/>
        <v>3225.319</v>
      </c>
      <c r="T12" s="104">
        <f t="shared" si="7"/>
        <v>6548.4939999999997</v>
      </c>
      <c r="U12" s="104">
        <f t="shared" si="7"/>
        <v>6639.7239999999993</v>
      </c>
      <c r="V12" s="104">
        <f t="shared" si="7"/>
        <v>7093.1160000000009</v>
      </c>
      <c r="W12" s="104">
        <f>W6+W8+W52</f>
        <v>7731.2179999999998</v>
      </c>
      <c r="X12" s="104">
        <f>X6+X8+X52</f>
        <v>8214.7780000000002</v>
      </c>
      <c r="Y12" s="104">
        <f>Y6+Y8+Y52</f>
        <v>9039.476999999999</v>
      </c>
    </row>
    <row r="13" spans="1:25" ht="15" customHeight="1">
      <c r="A13" s="109" t="s">
        <v>41</v>
      </c>
      <c r="B13" s="123">
        <v>54.917216000000003</v>
      </c>
      <c r="C13" s="102">
        <v>39.649000000000001</v>
      </c>
      <c r="D13" s="102">
        <v>223.31700000000001</v>
      </c>
      <c r="E13" s="102">
        <v>387.26799999999997</v>
      </c>
      <c r="F13" s="102">
        <v>348.00700000000001</v>
      </c>
      <c r="G13" s="102">
        <v>342.25200000000001</v>
      </c>
      <c r="H13" s="102">
        <v>541.08299999999997</v>
      </c>
      <c r="I13" s="102">
        <v>771.86599999999999</v>
      </c>
      <c r="J13" s="102">
        <v>712.61599999999999</v>
      </c>
      <c r="K13" s="102">
        <v>766.17100000000005</v>
      </c>
      <c r="L13" s="102">
        <v>404.34</v>
      </c>
      <c r="M13" s="50"/>
      <c r="N13" s="103" t="s">
        <v>25</v>
      </c>
      <c r="O13" s="104">
        <f>O57-O46-O9</f>
        <v>3418.3550000000005</v>
      </c>
      <c r="P13" s="104">
        <f>P57-P46-P9</f>
        <v>5201.616</v>
      </c>
      <c r="Q13" s="104">
        <f>Q57-Q46-Q9</f>
        <v>5858.1210000000001</v>
      </c>
      <c r="R13" s="104">
        <f>R57-R46-R9</f>
        <v>4625.1470000000008</v>
      </c>
      <c r="S13" s="104">
        <f>S57-S46-S9</f>
        <v>3225.3240000000005</v>
      </c>
      <c r="T13" s="104">
        <f t="shared" ref="T13:Y13" si="8">T57-T46-T9-T54</f>
        <v>6548.4960000000001</v>
      </c>
      <c r="U13" s="104">
        <f t="shared" si="8"/>
        <v>6639.7240000000011</v>
      </c>
      <c r="V13" s="104">
        <f t="shared" si="8"/>
        <v>7093.1150000000016</v>
      </c>
      <c r="W13" s="104">
        <f t="shared" si="8"/>
        <v>7731.2180000000008</v>
      </c>
      <c r="X13" s="104">
        <f t="shared" si="8"/>
        <v>8214.7790000000005</v>
      </c>
      <c r="Y13" s="104">
        <f t="shared" si="8"/>
        <v>9039.4760000000006</v>
      </c>
    </row>
    <row r="14" spans="1:25" ht="15" customHeight="1">
      <c r="A14" s="103" t="s">
        <v>42</v>
      </c>
      <c r="B14" s="104">
        <f t="shared" ref="B14:G14" si="9">B4-SUM(B8:B13)</f>
        <v>82.306114999999977</v>
      </c>
      <c r="C14" s="104">
        <f t="shared" si="9"/>
        <v>60.961000000000013</v>
      </c>
      <c r="D14" s="104">
        <f t="shared" si="9"/>
        <v>171.08300000000008</v>
      </c>
      <c r="E14" s="104">
        <f t="shared" si="9"/>
        <v>186.7819999999997</v>
      </c>
      <c r="F14" s="104">
        <f t="shared" si="9"/>
        <v>289.68499999999995</v>
      </c>
      <c r="G14" s="104">
        <f t="shared" si="9"/>
        <v>324.44900000000007</v>
      </c>
      <c r="H14" s="104">
        <f>H4-SUM(H8:H13)</f>
        <v>621.79</v>
      </c>
      <c r="I14" s="104">
        <f>I4-SUM(I8:I13)</f>
        <v>1388.1660000000002</v>
      </c>
      <c r="J14" s="104">
        <f>J4-SUM(J8:J13)</f>
        <v>1640.1449999999995</v>
      </c>
      <c r="K14" s="104">
        <f>K4-SUM(K8:K13)</f>
        <v>1323.8519999999999</v>
      </c>
      <c r="L14" s="104">
        <f>L4-SUM(L8:L13)</f>
        <v>685.45499999999947</v>
      </c>
      <c r="M14" s="51"/>
      <c r="N14" s="101"/>
      <c r="O14" s="105"/>
      <c r="P14" s="105"/>
      <c r="Q14" s="105"/>
      <c r="R14" s="105"/>
      <c r="S14" s="105"/>
      <c r="T14" s="105"/>
      <c r="U14" s="105"/>
      <c r="V14" s="101"/>
      <c r="W14" s="101"/>
      <c r="X14" s="101"/>
      <c r="Y14" s="101"/>
    </row>
    <row r="15" spans="1:25" ht="15" customHeight="1">
      <c r="A15" s="124" t="s">
        <v>43</v>
      </c>
      <c r="B15" s="125">
        <f t="shared" ref="B15:G15" si="10">B14/B4</f>
        <v>0.12433313973045257</v>
      </c>
      <c r="C15" s="128">
        <f t="shared" si="10"/>
        <v>8.5771288757194988E-2</v>
      </c>
      <c r="D15" s="128">
        <f t="shared" si="10"/>
        <v>0.10188369573826574</v>
      </c>
      <c r="E15" s="128">
        <f t="shared" si="10"/>
        <v>7.7619236798055713E-2</v>
      </c>
      <c r="F15" s="128">
        <f t="shared" si="10"/>
        <v>0.11240530710898523</v>
      </c>
      <c r="G15" s="128">
        <f t="shared" si="10"/>
        <v>0.12968897334542623</v>
      </c>
      <c r="H15" s="128">
        <f t="shared" ref="H15:I15" si="11">H14/H4</f>
        <v>0.15140535552097867</v>
      </c>
      <c r="I15" s="128">
        <f t="shared" si="11"/>
        <v>0.23565602748086162</v>
      </c>
      <c r="J15" s="128">
        <f>J14/J4</f>
        <v>0.26375874769412405</v>
      </c>
      <c r="K15" s="128">
        <f>K14/K4</f>
        <v>0.21376027302369932</v>
      </c>
      <c r="L15" s="128"/>
      <c r="M15" s="47"/>
      <c r="N15" s="103" t="s">
        <v>188</v>
      </c>
      <c r="O15" s="104"/>
      <c r="P15" s="104"/>
      <c r="Q15" s="104"/>
      <c r="R15" s="104"/>
      <c r="S15" s="104">
        <f t="shared" ref="S15:Y15" si="12">SUM(S17,S18)-F19</f>
        <v>5173.0630000000001</v>
      </c>
      <c r="T15" s="104">
        <f t="shared" si="12"/>
        <v>4915.6350000000002</v>
      </c>
      <c r="U15" s="104">
        <f t="shared" si="12"/>
        <v>4704.436999999999</v>
      </c>
      <c r="V15" s="104">
        <f t="shared" si="12"/>
        <v>4632.9799999999996</v>
      </c>
      <c r="W15" s="104">
        <f t="shared" si="12"/>
        <v>4661.5280000000002</v>
      </c>
      <c r="X15" s="104">
        <f t="shared" si="12"/>
        <v>5075.4680000000008</v>
      </c>
      <c r="Y15" s="104">
        <f t="shared" si="12"/>
        <v>5301.0540000000001</v>
      </c>
    </row>
    <row r="16" spans="1:25" ht="15" customHeight="1">
      <c r="A16" s="124" t="s">
        <v>36</v>
      </c>
      <c r="B16" s="125"/>
      <c r="C16" s="125">
        <f>C15/B15-1</f>
        <v>-0.310149418384009</v>
      </c>
      <c r="D16" s="125">
        <f>D15/C15-1</f>
        <v>0.187853152430558</v>
      </c>
      <c r="E16" s="125">
        <f>E15/D15-1</f>
        <v>-0.23815840959032586</v>
      </c>
      <c r="F16" s="125">
        <f t="shared" ref="F16:I16" si="13">F14/E14-1</f>
        <v>0.55092567806319881</v>
      </c>
      <c r="G16" s="125">
        <f t="shared" si="13"/>
        <v>0.12000621364585706</v>
      </c>
      <c r="H16" s="125">
        <f t="shared" si="13"/>
        <v>0.91644911835141984</v>
      </c>
      <c r="I16" s="125">
        <f t="shared" si="13"/>
        <v>1.2325318837549659</v>
      </c>
      <c r="J16" s="125">
        <f>J14/I14-1</f>
        <v>0.18151935719503243</v>
      </c>
      <c r="K16" s="125">
        <f>K14/J14-1</f>
        <v>-0.19284453508683663</v>
      </c>
      <c r="L16" s="125"/>
      <c r="M16" s="47"/>
      <c r="N16" s="106" t="s">
        <v>180</v>
      </c>
      <c r="O16" s="105"/>
      <c r="P16" s="105"/>
      <c r="Q16" s="105"/>
      <c r="R16" s="105"/>
      <c r="S16" s="105"/>
      <c r="T16" s="105"/>
      <c r="U16" s="105"/>
      <c r="V16" s="101"/>
      <c r="W16" s="101"/>
      <c r="X16" s="101"/>
      <c r="Y16" s="101"/>
    </row>
    <row r="17" spans="1:26" ht="15" customHeight="1">
      <c r="A17" s="124" t="s">
        <v>37</v>
      </c>
      <c r="B17" s="129"/>
      <c r="C17" s="129"/>
      <c r="D17" s="129"/>
      <c r="E17" s="125">
        <f t="shared" ref="E17:I17" si="14">((E14/B14)^(1/3)-1)</f>
        <v>0.31411782507573704</v>
      </c>
      <c r="F17" s="125">
        <f t="shared" si="14"/>
        <v>0.6812203638510681</v>
      </c>
      <c r="G17" s="125">
        <f t="shared" si="14"/>
        <v>0.23778873982309467</v>
      </c>
      <c r="H17" s="125">
        <f t="shared" si="14"/>
        <v>0.49314816175917486</v>
      </c>
      <c r="I17" s="125">
        <f t="shared" si="14"/>
        <v>0.68592583223479764</v>
      </c>
      <c r="J17" s="125">
        <f>((J14/G14)^(1/3)-1)</f>
        <v>0.71624229881479318</v>
      </c>
      <c r="K17" s="125">
        <f>((K14/H14)^(1/3)-1)</f>
        <v>0.28646675486756057</v>
      </c>
      <c r="L17" s="125"/>
      <c r="M17" s="46"/>
      <c r="N17" s="101" t="s">
        <v>7</v>
      </c>
      <c r="O17" s="102">
        <v>648.36</v>
      </c>
      <c r="P17" s="102">
        <v>3398.8470000000002</v>
      </c>
      <c r="Q17" s="102">
        <v>5654.0389999999998</v>
      </c>
      <c r="R17" s="102">
        <v>5602.7820000000002</v>
      </c>
      <c r="S17" s="102">
        <v>5385.7300000000005</v>
      </c>
      <c r="T17" s="102">
        <v>5126.2970000000005</v>
      </c>
      <c r="U17" s="102">
        <v>4914.6859999999997</v>
      </c>
      <c r="V17" s="102">
        <v>4808.9269999999997</v>
      </c>
      <c r="W17" s="102">
        <v>4749.9620000000004</v>
      </c>
      <c r="X17" s="102">
        <v>4826.76</v>
      </c>
      <c r="Y17" s="102">
        <v>4801.0659999999998</v>
      </c>
    </row>
    <row r="18" spans="1:26" ht="15" customHeight="1">
      <c r="A18" s="101" t="s">
        <v>44</v>
      </c>
      <c r="B18" s="105">
        <v>0</v>
      </c>
      <c r="C18" s="102">
        <v>32.516000000000005</v>
      </c>
      <c r="D18" s="102">
        <v>207.29000000000002</v>
      </c>
      <c r="E18" s="102">
        <v>9.1879999999999988</v>
      </c>
      <c r="F18" s="102">
        <v>3.0379999999999994</v>
      </c>
      <c r="G18" s="102">
        <v>5.109</v>
      </c>
      <c r="H18" s="102">
        <v>5.8040000000000003</v>
      </c>
      <c r="I18" s="102">
        <v>6.6929999999999996</v>
      </c>
      <c r="J18" s="102">
        <v>8.2159999999999993</v>
      </c>
      <c r="K18" s="102">
        <v>7.9279999999999999</v>
      </c>
      <c r="L18" s="102">
        <v>3.44</v>
      </c>
      <c r="M18" s="46"/>
      <c r="N18" s="101" t="s">
        <v>8</v>
      </c>
      <c r="O18" s="102">
        <v>1593.925</v>
      </c>
      <c r="P18" s="102">
        <f>(14197.63+10.7)/10</f>
        <v>1420.8330000000001</v>
      </c>
      <c r="Q18" s="102">
        <f>(194.1+21.4)/10</f>
        <v>21.55</v>
      </c>
      <c r="R18" s="102">
        <v>6.0549999999999997</v>
      </c>
      <c r="S18" s="102">
        <v>5.3780000000000001</v>
      </c>
      <c r="T18" s="102">
        <v>6.2080000000000002</v>
      </c>
      <c r="U18" s="102">
        <f>(29.25+12.38)/10</f>
        <v>4.1630000000000003</v>
      </c>
      <c r="V18" s="105">
        <v>30.620999999999999</v>
      </c>
      <c r="W18" s="102">
        <v>123.202</v>
      </c>
      <c r="X18" s="102">
        <v>468.96600000000001</v>
      </c>
      <c r="Y18" s="102">
        <v>616.74099999999999</v>
      </c>
    </row>
    <row r="19" spans="1:26" ht="15" customHeight="1">
      <c r="A19" s="109" t="s">
        <v>45</v>
      </c>
      <c r="B19" s="123">
        <v>22.917158000000001</v>
      </c>
      <c r="C19" s="102">
        <v>38.851999999999997</v>
      </c>
      <c r="D19" s="102">
        <v>123.47899999999998</v>
      </c>
      <c r="E19" s="102">
        <v>210.27699999999999</v>
      </c>
      <c r="F19" s="102">
        <v>218.04499999999996</v>
      </c>
      <c r="G19" s="102">
        <v>216.86999999999998</v>
      </c>
      <c r="H19" s="102">
        <v>214.41199999999998</v>
      </c>
      <c r="I19" s="102">
        <v>206.56800000000001</v>
      </c>
      <c r="J19" s="102">
        <v>211.636</v>
      </c>
      <c r="K19" s="102">
        <v>220.25800000000001</v>
      </c>
      <c r="L19" s="102">
        <v>116.753</v>
      </c>
      <c r="M19" s="46"/>
      <c r="N19" s="101" t="s">
        <v>26</v>
      </c>
      <c r="O19" s="102">
        <v>2.1520000000000001</v>
      </c>
      <c r="P19" s="102">
        <v>2.02</v>
      </c>
      <c r="Q19" s="102">
        <v>1.613</v>
      </c>
      <c r="R19" s="102">
        <v>1.0840000000000001</v>
      </c>
      <c r="S19" s="102">
        <v>0.55599999999999994</v>
      </c>
      <c r="T19" s="102">
        <v>0.45599999999999996</v>
      </c>
      <c r="U19" s="102">
        <f>(3.5)/10</f>
        <v>0.35</v>
      </c>
      <c r="V19" s="102">
        <v>2.9350000000000001</v>
      </c>
      <c r="W19" s="102">
        <v>2.6030000000000002</v>
      </c>
      <c r="X19" s="102">
        <v>8.3409999999999993</v>
      </c>
      <c r="Y19" s="102">
        <v>7.6360000000000001</v>
      </c>
    </row>
    <row r="20" spans="1:26" ht="15" customHeight="1">
      <c r="A20" s="109" t="s">
        <v>54</v>
      </c>
      <c r="B20" s="123">
        <v>37.214013999999999</v>
      </c>
      <c r="C20" s="102">
        <v>25.419999999999998</v>
      </c>
      <c r="D20" s="102">
        <v>251.84300000000002</v>
      </c>
      <c r="E20" s="102">
        <v>726.29199999999992</v>
      </c>
      <c r="F20" s="102">
        <v>894.69500000000016</v>
      </c>
      <c r="G20" s="102">
        <v>340.71199999999999</v>
      </c>
      <c r="H20" s="102">
        <v>233.90300000000002</v>
      </c>
      <c r="I20" s="102">
        <v>221.989</v>
      </c>
      <c r="J20" s="102">
        <v>147.863</v>
      </c>
      <c r="K20" s="102">
        <v>133.28899999999999</v>
      </c>
      <c r="L20" s="102">
        <v>66.016999999999996</v>
      </c>
      <c r="M20" s="46"/>
      <c r="N20" s="101" t="s">
        <v>169</v>
      </c>
      <c r="O20" s="102">
        <v>0</v>
      </c>
      <c r="P20" s="102">
        <v>0</v>
      </c>
      <c r="Q20" s="102">
        <v>0</v>
      </c>
      <c r="R20" s="102">
        <v>0</v>
      </c>
      <c r="S20" s="102">
        <v>0</v>
      </c>
      <c r="T20" s="102">
        <v>0</v>
      </c>
      <c r="U20" s="105">
        <v>0</v>
      </c>
      <c r="V20" s="102">
        <v>4.3</v>
      </c>
      <c r="W20" s="102">
        <v>4.8840000000000003</v>
      </c>
      <c r="X20" s="108" t="s">
        <v>52</v>
      </c>
      <c r="Y20" s="108" t="s">
        <v>193</v>
      </c>
    </row>
    <row r="21" spans="1:26" ht="15" customHeight="1">
      <c r="A21" s="130" t="s">
        <v>94</v>
      </c>
      <c r="B21" s="105">
        <v>0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5">
        <v>0</v>
      </c>
      <c r="I21" s="105">
        <v>0</v>
      </c>
      <c r="J21" s="105">
        <v>0</v>
      </c>
      <c r="K21" s="105">
        <v>0</v>
      </c>
      <c r="L21" s="105">
        <v>0</v>
      </c>
      <c r="M21" s="52"/>
      <c r="N21" s="101" t="s">
        <v>9</v>
      </c>
      <c r="O21" s="102">
        <v>0</v>
      </c>
      <c r="P21" s="102">
        <v>0</v>
      </c>
      <c r="Q21" s="102">
        <v>0</v>
      </c>
      <c r="R21" s="102">
        <v>0</v>
      </c>
      <c r="S21" s="102">
        <v>0</v>
      </c>
      <c r="T21" s="102">
        <v>0</v>
      </c>
      <c r="U21" s="105">
        <v>0</v>
      </c>
      <c r="V21" s="105">
        <v>0</v>
      </c>
      <c r="W21" s="105">
        <v>0</v>
      </c>
      <c r="X21" s="108" t="s">
        <v>52</v>
      </c>
      <c r="Y21" s="108" t="s">
        <v>194</v>
      </c>
    </row>
    <row r="22" spans="1:26" ht="15" customHeight="1">
      <c r="A22" s="131" t="s">
        <v>174</v>
      </c>
      <c r="B22" s="132">
        <f t="shared" ref="B22:I22" si="15">B14+B18-SUM(B19:B21)</f>
        <v>22.174942999999978</v>
      </c>
      <c r="C22" s="132">
        <f t="shared" si="15"/>
        <v>29.205000000000027</v>
      </c>
      <c r="D22" s="132">
        <f t="shared" si="15"/>
        <v>3.0510000000001014</v>
      </c>
      <c r="E22" s="132">
        <f t="shared" si="15"/>
        <v>-740.59900000000027</v>
      </c>
      <c r="F22" s="132">
        <f t="shared" si="15"/>
        <v>-820.01700000000028</v>
      </c>
      <c r="G22" s="132">
        <f t="shared" si="15"/>
        <v>-228.02399999999994</v>
      </c>
      <c r="H22" s="132">
        <f t="shared" si="15"/>
        <v>179.27899999999994</v>
      </c>
      <c r="I22" s="132">
        <f t="shared" si="15"/>
        <v>966.30200000000013</v>
      </c>
      <c r="J22" s="132">
        <f>J14+J18-SUM(J19:J21)</f>
        <v>1288.8619999999994</v>
      </c>
      <c r="K22" s="132">
        <f>K14+K18-SUM(K19:K21)</f>
        <v>978.23299999999995</v>
      </c>
      <c r="L22" s="159">
        <f>L14+L18-SUM(L19:L21)</f>
        <v>506.12499999999955</v>
      </c>
      <c r="M22" s="53"/>
      <c r="N22" s="109" t="s">
        <v>27</v>
      </c>
      <c r="O22" s="102">
        <v>0</v>
      </c>
      <c r="P22" s="102">
        <v>0</v>
      </c>
      <c r="Q22" s="102">
        <v>0</v>
      </c>
      <c r="R22" s="102">
        <v>0</v>
      </c>
      <c r="S22" s="102">
        <v>0</v>
      </c>
      <c r="T22" s="102">
        <v>0</v>
      </c>
      <c r="U22" s="105">
        <v>0</v>
      </c>
      <c r="V22" s="105">
        <v>0</v>
      </c>
      <c r="W22" s="105">
        <v>0</v>
      </c>
      <c r="X22" s="108" t="s">
        <v>52</v>
      </c>
      <c r="Y22" s="108" t="s">
        <v>194</v>
      </c>
    </row>
    <row r="23" spans="1:26" ht="15" customHeight="1">
      <c r="A23" s="130" t="s">
        <v>175</v>
      </c>
      <c r="B23" s="105"/>
      <c r="C23" s="102">
        <v>0</v>
      </c>
      <c r="D23" s="102">
        <v>0</v>
      </c>
      <c r="E23" s="102">
        <v>0</v>
      </c>
      <c r="F23" s="102">
        <v>0</v>
      </c>
      <c r="G23" s="102">
        <v>0</v>
      </c>
      <c r="H23" s="102">
        <v>0</v>
      </c>
      <c r="I23" s="102">
        <v>-0.22900000000000001</v>
      </c>
      <c r="J23" s="102">
        <v>0</v>
      </c>
      <c r="K23" s="102">
        <v>0</v>
      </c>
      <c r="L23" s="102">
        <v>0</v>
      </c>
      <c r="M23" s="54"/>
      <c r="N23" s="109" t="s">
        <v>10</v>
      </c>
      <c r="O23" s="102">
        <v>1.2849999999999999</v>
      </c>
      <c r="P23" s="102">
        <v>1.2849999999999999</v>
      </c>
      <c r="Q23" s="102">
        <v>2.5309999999999997</v>
      </c>
      <c r="R23" s="102">
        <v>7.2810000000000006</v>
      </c>
      <c r="S23" s="102">
        <v>21.711000000000002</v>
      </c>
      <c r="T23" s="102">
        <v>21.711000000000002</v>
      </c>
      <c r="U23" s="102">
        <v>97.835000000000008</v>
      </c>
      <c r="V23" s="102">
        <f>20.014+23.854</f>
        <v>43.867999999999995</v>
      </c>
      <c r="W23" s="102">
        <f>19.648+24.088</f>
        <v>43.736000000000004</v>
      </c>
      <c r="X23" s="102">
        <v>41.085000000000001</v>
      </c>
      <c r="Y23" s="102">
        <v>48.945999999999998</v>
      </c>
    </row>
    <row r="24" spans="1:26" ht="15" customHeight="1">
      <c r="A24" s="106" t="s">
        <v>176</v>
      </c>
      <c r="B24" s="101"/>
      <c r="C24" s="111">
        <f>C22-C23</f>
        <v>29.205000000000027</v>
      </c>
      <c r="D24" s="111">
        <f t="shared" ref="D24:J24" si="16">D22-D23</f>
        <v>3.0510000000001014</v>
      </c>
      <c r="E24" s="111">
        <f t="shared" si="16"/>
        <v>-740.59900000000027</v>
      </c>
      <c r="F24" s="111">
        <f t="shared" si="16"/>
        <v>-820.01700000000028</v>
      </c>
      <c r="G24" s="111">
        <f t="shared" si="16"/>
        <v>-228.02399999999994</v>
      </c>
      <c r="H24" s="111">
        <f t="shared" si="16"/>
        <v>179.27899999999994</v>
      </c>
      <c r="I24" s="111">
        <f>I22+I23</f>
        <v>966.07300000000009</v>
      </c>
      <c r="J24" s="111">
        <f t="shared" si="16"/>
        <v>1288.8619999999994</v>
      </c>
      <c r="K24" s="111">
        <f>K22-K23</f>
        <v>978.23299999999995</v>
      </c>
      <c r="L24" s="111">
        <v>506.13</v>
      </c>
      <c r="M24" s="52"/>
      <c r="N24" s="101" t="s">
        <v>149</v>
      </c>
      <c r="O24" s="102">
        <v>0</v>
      </c>
      <c r="P24" s="102">
        <v>0</v>
      </c>
      <c r="Q24" s="102">
        <v>0</v>
      </c>
      <c r="R24" s="102">
        <v>253.72800000000001</v>
      </c>
      <c r="S24" s="102">
        <v>464.14799999999997</v>
      </c>
      <c r="T24" s="102">
        <v>523.875</v>
      </c>
      <c r="U24" s="102">
        <v>480.233</v>
      </c>
      <c r="V24" s="102">
        <v>142.339</v>
      </c>
      <c r="W24" s="102">
        <v>-182.23</v>
      </c>
      <c r="X24" s="102">
        <v>-435.40600000000001</v>
      </c>
      <c r="Y24" s="102">
        <v>15.884000000000015</v>
      </c>
    </row>
    <row r="25" spans="1:26" ht="15" customHeight="1">
      <c r="A25" s="101" t="s">
        <v>46</v>
      </c>
      <c r="B25" s="123">
        <v>8.7472209999999997</v>
      </c>
      <c r="C25" s="102">
        <v>4.8049999999999997</v>
      </c>
      <c r="D25" s="102">
        <v>0.56100000000000005</v>
      </c>
      <c r="E25" s="102">
        <v>-295.04200000000003</v>
      </c>
      <c r="F25" s="102">
        <v>-210.44</v>
      </c>
      <c r="G25" s="102">
        <v>-60.152000000000001</v>
      </c>
      <c r="H25" s="102">
        <v>42.631999999999998</v>
      </c>
      <c r="I25" s="102">
        <v>343.72899999999998</v>
      </c>
      <c r="J25" s="102">
        <v>325.44099999999997</v>
      </c>
      <c r="K25" s="102">
        <v>253.83199999999999</v>
      </c>
      <c r="L25" s="102">
        <v>128.691</v>
      </c>
      <c r="M25" s="55"/>
      <c r="N25" s="101" t="s">
        <v>11</v>
      </c>
      <c r="O25" s="102">
        <v>610.13</v>
      </c>
      <c r="P25" s="102">
        <v>209.99499999999998</v>
      </c>
      <c r="Q25" s="102">
        <v>84.16</v>
      </c>
      <c r="R25" s="102">
        <v>106.202</v>
      </c>
      <c r="S25" s="102">
        <v>105.822</v>
      </c>
      <c r="T25" s="102">
        <v>105.79100000000001</v>
      </c>
      <c r="U25" s="102">
        <v>85.751999999999995</v>
      </c>
      <c r="V25" s="102">
        <v>35.951999999999998</v>
      </c>
      <c r="W25" s="102">
        <v>101.913</v>
      </c>
      <c r="X25" s="102">
        <v>65.968000000000004</v>
      </c>
      <c r="Y25" s="102">
        <v>30.588000000000001</v>
      </c>
    </row>
    <row r="26" spans="1:26" ht="15" customHeight="1">
      <c r="A26" s="124" t="s">
        <v>47</v>
      </c>
      <c r="B26" s="125">
        <f t="shared" ref="B26:I26" si="17">B25/B22</f>
        <v>0.39446419321122983</v>
      </c>
      <c r="C26" s="125">
        <f t="shared" si="17"/>
        <v>0.16452662215374064</v>
      </c>
      <c r="D26" s="125">
        <f t="shared" si="17"/>
        <v>0.18387413962634591</v>
      </c>
      <c r="E26" s="125">
        <f t="shared" si="17"/>
        <v>0.39838293057376517</v>
      </c>
      <c r="F26" s="125">
        <f t="shared" si="17"/>
        <v>0.25662882598775383</v>
      </c>
      <c r="G26" s="125">
        <f t="shared" si="17"/>
        <v>0.2637967933200015</v>
      </c>
      <c r="H26" s="125">
        <f t="shared" si="17"/>
        <v>0.23779695335203796</v>
      </c>
      <c r="I26" s="125">
        <f t="shared" si="17"/>
        <v>0.35571591490031063</v>
      </c>
      <c r="J26" s="125">
        <f>J25/J22</f>
        <v>0.25250259531276437</v>
      </c>
      <c r="K26" s="125">
        <f>K25/K22</f>
        <v>0.25948010341094607</v>
      </c>
      <c r="L26" s="125">
        <f>L25/L22</f>
        <v>0.25426722647567324</v>
      </c>
      <c r="M26" s="49"/>
      <c r="N26" s="110" t="s">
        <v>184</v>
      </c>
      <c r="O26" s="104">
        <f t="shared" ref="O26:T26" si="18">SUM(O17:O25)</f>
        <v>2855.8519999999999</v>
      </c>
      <c r="P26" s="104">
        <f t="shared" si="18"/>
        <v>5032.9800000000005</v>
      </c>
      <c r="Q26" s="104">
        <f t="shared" si="18"/>
        <v>5763.893</v>
      </c>
      <c r="R26" s="104">
        <f t="shared" si="18"/>
        <v>5977.1320000000005</v>
      </c>
      <c r="S26" s="104">
        <f t="shared" si="18"/>
        <v>5983.3450000000003</v>
      </c>
      <c r="T26" s="104">
        <f t="shared" si="18"/>
        <v>5784.3380000000006</v>
      </c>
      <c r="U26" s="104">
        <f>SUM(U17:U25)</f>
        <v>5583.0190000000002</v>
      </c>
      <c r="V26" s="104">
        <f>SUM(V17:V25)</f>
        <v>5068.9420000000009</v>
      </c>
      <c r="W26" s="104">
        <f>SUM(W17:W25)</f>
        <v>4844.0700000000006</v>
      </c>
      <c r="X26" s="104">
        <f>SUM(X17:X25)</f>
        <v>4975.7140000000009</v>
      </c>
      <c r="Y26" s="104">
        <f>SUM(Y17:Y25)</f>
        <v>5520.8609999999999</v>
      </c>
      <c r="Z26" s="3">
        <f>5520.861-Y26</f>
        <v>0</v>
      </c>
    </row>
    <row r="27" spans="1:26" ht="15" customHeight="1">
      <c r="A27" s="103" t="s">
        <v>96</v>
      </c>
      <c r="B27" s="104">
        <f>B22-B25</f>
        <v>13.427721999999978</v>
      </c>
      <c r="C27" s="104">
        <f>C24-C25</f>
        <v>24.400000000000027</v>
      </c>
      <c r="D27" s="104">
        <f t="shared" ref="D27:J27" si="19">D24-D25</f>
        <v>2.4900000000001015</v>
      </c>
      <c r="E27" s="104">
        <f t="shared" si="19"/>
        <v>-445.55700000000024</v>
      </c>
      <c r="F27" s="104">
        <f t="shared" si="19"/>
        <v>-609.57700000000023</v>
      </c>
      <c r="G27" s="104">
        <f t="shared" si="19"/>
        <v>-167.87199999999996</v>
      </c>
      <c r="H27" s="104">
        <f t="shared" si="19"/>
        <v>136.64699999999993</v>
      </c>
      <c r="I27" s="104">
        <f t="shared" si="19"/>
        <v>622.34400000000005</v>
      </c>
      <c r="J27" s="104">
        <f t="shared" si="19"/>
        <v>963.42099999999937</v>
      </c>
      <c r="K27" s="104">
        <f>K24-K25</f>
        <v>724.40099999999995</v>
      </c>
      <c r="L27" s="104">
        <f>L24-L25</f>
        <v>377.43899999999996</v>
      </c>
      <c r="M27" s="52" t="s">
        <v>171</v>
      </c>
      <c r="N27" s="106" t="s">
        <v>178</v>
      </c>
      <c r="O27" s="107"/>
      <c r="P27" s="107"/>
      <c r="Q27" s="107"/>
      <c r="R27" s="107"/>
      <c r="S27" s="107"/>
      <c r="T27" s="105"/>
      <c r="U27" s="105"/>
      <c r="V27" s="101"/>
      <c r="W27" s="101"/>
      <c r="X27" s="102"/>
      <c r="Y27" s="102"/>
    </row>
    <row r="28" spans="1:26" ht="15" customHeight="1">
      <c r="A28" s="131" t="s">
        <v>97</v>
      </c>
      <c r="B28" s="132"/>
      <c r="C28" s="132">
        <v>0</v>
      </c>
      <c r="D28" s="132">
        <v>0</v>
      </c>
      <c r="E28" s="132">
        <v>0</v>
      </c>
      <c r="F28" s="132">
        <v>0</v>
      </c>
      <c r="G28" s="132">
        <v>0</v>
      </c>
      <c r="H28" s="133">
        <v>0</v>
      </c>
      <c r="I28" s="133">
        <v>0</v>
      </c>
      <c r="J28" s="133">
        <v>0</v>
      </c>
      <c r="K28" s="133">
        <v>0</v>
      </c>
      <c r="L28" s="133">
        <v>0</v>
      </c>
      <c r="M28" s="52"/>
      <c r="N28" s="122"/>
      <c r="O28" s="120"/>
      <c r="P28" s="119"/>
      <c r="Q28" s="105"/>
      <c r="R28" s="105"/>
      <c r="S28" s="99"/>
      <c r="T28" s="144"/>
      <c r="U28" s="144"/>
      <c r="V28" s="144"/>
      <c r="W28" s="144"/>
      <c r="X28" s="121"/>
      <c r="Y28" s="121"/>
    </row>
    <row r="29" spans="1:26" ht="15" customHeight="1">
      <c r="A29" s="101" t="s">
        <v>46</v>
      </c>
      <c r="B29" s="105">
        <v>0</v>
      </c>
      <c r="C29" s="105">
        <v>0</v>
      </c>
      <c r="D29" s="105">
        <v>0</v>
      </c>
      <c r="E29" s="105">
        <v>0</v>
      </c>
      <c r="F29" s="105">
        <v>0</v>
      </c>
      <c r="G29" s="105">
        <v>0</v>
      </c>
      <c r="H29" s="127">
        <v>0</v>
      </c>
      <c r="I29" s="127">
        <v>0</v>
      </c>
      <c r="J29" s="127">
        <v>0</v>
      </c>
      <c r="K29" s="127">
        <v>0</v>
      </c>
      <c r="L29" s="127">
        <v>0</v>
      </c>
      <c r="M29" s="51"/>
      <c r="N29" s="101" t="s">
        <v>12</v>
      </c>
      <c r="O29" s="102">
        <v>344.21999999999997</v>
      </c>
      <c r="P29" s="102">
        <v>437.113</v>
      </c>
      <c r="Q29" s="102">
        <v>734.54</v>
      </c>
      <c r="R29" s="102">
        <v>888.61599999999999</v>
      </c>
      <c r="S29" s="102">
        <v>776.50400000000002</v>
      </c>
      <c r="T29" s="102">
        <v>647.21199999999999</v>
      </c>
      <c r="U29" s="102">
        <v>804.50699999999995</v>
      </c>
      <c r="V29" s="102">
        <v>1100.681</v>
      </c>
      <c r="W29" s="102">
        <v>985.84199999999998</v>
      </c>
      <c r="X29" s="102">
        <v>1232.3910000000001</v>
      </c>
      <c r="Y29" s="102">
        <v>1112.403</v>
      </c>
    </row>
    <row r="30" spans="1:26" ht="15" customHeight="1">
      <c r="A30" s="103" t="s">
        <v>98</v>
      </c>
      <c r="B30" s="104">
        <f t="shared" ref="B30:G30" si="20">B28-B29</f>
        <v>0</v>
      </c>
      <c r="C30" s="104">
        <f t="shared" si="20"/>
        <v>0</v>
      </c>
      <c r="D30" s="104">
        <f t="shared" si="20"/>
        <v>0</v>
      </c>
      <c r="E30" s="104">
        <f t="shared" si="20"/>
        <v>0</v>
      </c>
      <c r="F30" s="104">
        <f t="shared" si="20"/>
        <v>0</v>
      </c>
      <c r="G30" s="104">
        <f t="shared" si="20"/>
        <v>0</v>
      </c>
      <c r="H30" s="104">
        <f>H28+H29</f>
        <v>0</v>
      </c>
      <c r="I30" s="104">
        <f>I28+I29</f>
        <v>0</v>
      </c>
      <c r="J30" s="104">
        <f t="shared" ref="J30:K30" si="21">J28+J29</f>
        <v>0</v>
      </c>
      <c r="K30" s="104">
        <f t="shared" si="21"/>
        <v>0</v>
      </c>
      <c r="L30" s="104">
        <f t="shared" ref="L30" si="22">L28+L29</f>
        <v>0</v>
      </c>
      <c r="M30" s="47"/>
      <c r="N30" s="101" t="s">
        <v>9</v>
      </c>
      <c r="O30" s="102"/>
      <c r="P30" s="102"/>
      <c r="Q30" s="102"/>
      <c r="R30" s="102"/>
      <c r="S30" s="102"/>
      <c r="T30" s="102"/>
      <c r="U30" s="105"/>
      <c r="V30" s="101"/>
      <c r="W30" s="101"/>
      <c r="X30" s="101"/>
      <c r="Y30" s="101"/>
    </row>
    <row r="31" spans="1:26" ht="15" customHeight="1">
      <c r="A31" s="103" t="s">
        <v>99</v>
      </c>
      <c r="B31" s="104">
        <f>B29-B30</f>
        <v>0</v>
      </c>
      <c r="C31" s="104">
        <f t="shared" ref="C31:E31" si="23">C27+C30</f>
        <v>24.400000000000027</v>
      </c>
      <c r="D31" s="104">
        <f t="shared" si="23"/>
        <v>2.4900000000001015</v>
      </c>
      <c r="E31" s="104">
        <f t="shared" si="23"/>
        <v>-445.55700000000024</v>
      </c>
      <c r="F31" s="104">
        <f t="shared" ref="F31:J31" si="24">F27+F30</f>
        <v>-609.57700000000023</v>
      </c>
      <c r="G31" s="104">
        <f t="shared" si="24"/>
        <v>-167.87199999999996</v>
      </c>
      <c r="H31" s="104">
        <f t="shared" si="24"/>
        <v>136.64699999999993</v>
      </c>
      <c r="I31" s="104">
        <f t="shared" si="24"/>
        <v>622.34400000000005</v>
      </c>
      <c r="J31" s="104">
        <f t="shared" si="24"/>
        <v>963.42099999999937</v>
      </c>
      <c r="K31" s="104">
        <f>K27+K30</f>
        <v>724.40099999999995</v>
      </c>
      <c r="L31" s="104">
        <f>L27+L30</f>
        <v>377.43899999999996</v>
      </c>
      <c r="M31" s="47"/>
      <c r="N31" s="109" t="s">
        <v>13</v>
      </c>
      <c r="O31" s="102">
        <v>168.83099999999999</v>
      </c>
      <c r="P31" s="102">
        <v>169.30599999999998</v>
      </c>
      <c r="Q31" s="102">
        <v>232.279</v>
      </c>
      <c r="R31" s="102">
        <v>361.69200000000001</v>
      </c>
      <c r="S31" s="102">
        <v>293.86399999999998</v>
      </c>
      <c r="T31" s="102">
        <v>362.76900000000001</v>
      </c>
      <c r="U31" s="102">
        <v>398.976</v>
      </c>
      <c r="V31" s="102">
        <v>476.69</v>
      </c>
      <c r="W31" s="102">
        <v>791.57</v>
      </c>
      <c r="X31" s="102">
        <v>867.12800000000004</v>
      </c>
      <c r="Y31" s="102">
        <v>1151.1600000000001</v>
      </c>
    </row>
    <row r="32" spans="1:26" ht="15" customHeight="1">
      <c r="A32" s="124" t="s">
        <v>48</v>
      </c>
      <c r="B32" s="125">
        <f>B27/B4</f>
        <v>2.0284165224997801E-2</v>
      </c>
      <c r="C32" s="128">
        <f t="shared" ref="C32:I32" si="25">C31/C4</f>
        <v>3.4330464488370592E-2</v>
      </c>
      <c r="D32" s="128">
        <f t="shared" si="25"/>
        <v>1.4828498587720106E-3</v>
      </c>
      <c r="E32" s="128">
        <f t="shared" si="25"/>
        <v>-0.18515592664192151</v>
      </c>
      <c r="F32" s="128">
        <f t="shared" si="25"/>
        <v>-0.2365317151097707</v>
      </c>
      <c r="G32" s="128">
        <f t="shared" si="25"/>
        <v>-6.7101909185860897E-2</v>
      </c>
      <c r="H32" s="128">
        <f t="shared" si="25"/>
        <v>3.3273432534899505E-2</v>
      </c>
      <c r="I32" s="128">
        <f t="shared" si="25"/>
        <v>0.10564955111027739</v>
      </c>
      <c r="J32" s="128">
        <f>J31/J4</f>
        <v>0.15493186057465688</v>
      </c>
      <c r="K32" s="128">
        <f>K31/K4</f>
        <v>0.11696787521463187</v>
      </c>
      <c r="L32" s="128"/>
      <c r="M32" s="46"/>
      <c r="N32" s="109" t="s">
        <v>14</v>
      </c>
      <c r="O32" s="102">
        <v>703.93299999999999</v>
      </c>
      <c r="P32" s="102">
        <v>17.863999999999997</v>
      </c>
      <c r="Q32" s="102">
        <v>192.995</v>
      </c>
      <c r="R32" s="102">
        <v>3.403</v>
      </c>
      <c r="S32" s="102">
        <v>7.7439999999999998</v>
      </c>
      <c r="T32" s="102">
        <v>4.9279999999999999</v>
      </c>
      <c r="U32" s="102">
        <v>28.726999999999997</v>
      </c>
      <c r="V32" s="102">
        <v>0.38100000000000001</v>
      </c>
      <c r="W32" s="102">
        <v>0.56200000000000006</v>
      </c>
      <c r="X32" s="102">
        <v>0.75800000000000001</v>
      </c>
      <c r="Y32" s="102">
        <v>0.46899999999999997</v>
      </c>
    </row>
    <row r="33" spans="1:25" ht="15" customHeight="1">
      <c r="A33" s="124" t="s">
        <v>36</v>
      </c>
      <c r="B33" s="125"/>
      <c r="C33" s="125">
        <f t="shared" ref="C33" si="26">C32/B32-1</f>
        <v>0.69247608208507438</v>
      </c>
      <c r="D33" s="125">
        <f t="shared" ref="D33" si="27">D32/C32-1</f>
        <v>-0.95680658910763283</v>
      </c>
      <c r="E33" s="125">
        <f>E32/D32-1</f>
        <v>-125.86491841814269</v>
      </c>
      <c r="F33" s="125">
        <f t="shared" ref="F33:I33" si="28">F27/E27-1</f>
        <v>0.36812349486148777</v>
      </c>
      <c r="G33" s="125">
        <f t="shared" si="28"/>
        <v>-0.72460903216492767</v>
      </c>
      <c r="H33" s="125">
        <f t="shared" si="28"/>
        <v>-1.8139951868089972</v>
      </c>
      <c r="I33" s="125">
        <f t="shared" si="28"/>
        <v>3.5543919734791132</v>
      </c>
      <c r="J33" s="125">
        <f>J27/I27-1</f>
        <v>0.54805220264033916</v>
      </c>
      <c r="K33" s="125">
        <f>K27/J27-1</f>
        <v>-0.24809506954903371</v>
      </c>
      <c r="L33" s="125"/>
      <c r="M33" s="52"/>
      <c r="N33" s="109" t="s">
        <v>15</v>
      </c>
      <c r="O33" s="102">
        <v>14.759</v>
      </c>
      <c r="P33" s="102">
        <v>6.3659999999999997</v>
      </c>
      <c r="Q33" s="102">
        <v>63.984000000000002</v>
      </c>
      <c r="R33" s="102">
        <v>40.960999999999999</v>
      </c>
      <c r="S33" s="102">
        <v>26.704000000000001</v>
      </c>
      <c r="T33" s="102">
        <v>48.577999999999996</v>
      </c>
      <c r="U33" s="102">
        <v>3.3250000000000002</v>
      </c>
      <c r="V33" s="111">
        <v>86.906000000000006</v>
      </c>
      <c r="W33" s="111">
        <v>82.617999999999995</v>
      </c>
      <c r="X33" s="111">
        <v>92.784999999999997</v>
      </c>
      <c r="Y33" s="111">
        <v>62.997</v>
      </c>
    </row>
    <row r="34" spans="1:25" ht="15" customHeight="1">
      <c r="A34" s="124" t="s">
        <v>37</v>
      </c>
      <c r="B34" s="126"/>
      <c r="C34" s="126"/>
      <c r="D34" s="126"/>
      <c r="E34" s="125">
        <f>((E27/B27)^(1/3)-1)</f>
        <v>-4.2134161838781266</v>
      </c>
      <c r="F34" s="125">
        <f>((F27/C27)^(1/3)-1)</f>
        <v>-3.9233417024147839</v>
      </c>
      <c r="G34" s="125">
        <f>((G27/D27)^(1/3)-1)</f>
        <v>-5.0699865356540244</v>
      </c>
      <c r="H34" s="125">
        <f>((H31/E31)^(1/3)-1)*-1</f>
        <v>1.6743710891513559</v>
      </c>
      <c r="I34" s="125">
        <f>((I31/F31)^(1/3)-1)*-1</f>
        <v>2.0069331640405079</v>
      </c>
      <c r="J34" s="125">
        <f>((J31/G31)^(1/3)-1)*-1</f>
        <v>2.7903830102511122</v>
      </c>
      <c r="K34" s="125">
        <f>((K31/H31)^(1/3)-1)*-1</f>
        <v>-0.74365133471011569</v>
      </c>
      <c r="L34" s="125"/>
      <c r="M34" s="47"/>
      <c r="N34" s="109" t="s">
        <v>147</v>
      </c>
      <c r="O34" s="102">
        <v>5.6420000000000003</v>
      </c>
      <c r="P34" s="102">
        <v>43.637999999999998</v>
      </c>
      <c r="Q34" s="102">
        <v>18.663999999999998</v>
      </c>
      <c r="R34" s="102">
        <v>12.95</v>
      </c>
      <c r="S34" s="102">
        <v>7.9249999999999998</v>
      </c>
      <c r="T34" s="102">
        <v>11.111000000000001</v>
      </c>
      <c r="U34" s="102">
        <v>9.641</v>
      </c>
      <c r="V34" s="102">
        <v>8.6509999999999998</v>
      </c>
      <c r="W34" s="102">
        <v>11.06</v>
      </c>
      <c r="X34" s="102">
        <v>13.239000000000001</v>
      </c>
      <c r="Y34" s="102">
        <v>9.5820000000000007</v>
      </c>
    </row>
    <row r="35" spans="1:25" ht="15" customHeight="1">
      <c r="A35" s="101" t="s">
        <v>49</v>
      </c>
      <c r="B35" s="105"/>
      <c r="C35" s="102">
        <v>-8.199999999999999E-3</v>
      </c>
      <c r="D35" s="102">
        <v>-0.1143</v>
      </c>
      <c r="E35" s="102">
        <v>4.0099999999999997E-2</v>
      </c>
      <c r="F35" s="102">
        <v>9.6000000000000009E-3</v>
      </c>
      <c r="G35" s="102">
        <v>-0.2056</v>
      </c>
      <c r="H35" s="102">
        <v>-1.8519999999999999</v>
      </c>
      <c r="I35" s="102">
        <v>18.916</v>
      </c>
      <c r="J35" s="102">
        <v>-3.1549999999999998</v>
      </c>
      <c r="K35" s="102">
        <v>-1.865</v>
      </c>
      <c r="L35" s="127">
        <v>0</v>
      </c>
      <c r="M35" s="47"/>
      <c r="N35" s="101" t="s">
        <v>16</v>
      </c>
      <c r="O35" s="102">
        <v>64.524000000000001</v>
      </c>
      <c r="P35" s="102">
        <v>285.209</v>
      </c>
      <c r="Q35" s="102">
        <v>357.93899999999996</v>
      </c>
      <c r="R35" s="102">
        <v>384.45100000000002</v>
      </c>
      <c r="S35" s="102">
        <v>427.14300000000003</v>
      </c>
      <c r="T35" s="102">
        <v>606.21800000000007</v>
      </c>
      <c r="U35" s="102">
        <v>909.48700000000008</v>
      </c>
      <c r="V35" s="102">
        <v>1069.4169999999999</v>
      </c>
      <c r="W35" s="102">
        <v>1456.076</v>
      </c>
      <c r="X35" s="102">
        <v>1940.3789999999999</v>
      </c>
      <c r="Y35" s="102">
        <v>1913.171</v>
      </c>
    </row>
    <row r="36" spans="1:25" ht="15" customHeight="1">
      <c r="A36" s="106" t="s">
        <v>55</v>
      </c>
      <c r="B36" s="107">
        <f>B27+B35</f>
        <v>13.427721999999978</v>
      </c>
      <c r="C36" s="107">
        <f t="shared" ref="C36:F36" si="29">C31+C35</f>
        <v>24.391800000000028</v>
      </c>
      <c r="D36" s="107">
        <f t="shared" si="29"/>
        <v>2.3757000000001014</v>
      </c>
      <c r="E36" s="107">
        <f t="shared" si="29"/>
        <v>-445.51690000000025</v>
      </c>
      <c r="F36" s="107">
        <f t="shared" si="29"/>
        <v>-609.56740000000025</v>
      </c>
      <c r="G36" s="107">
        <f>G31+G35</f>
        <v>-168.07759999999996</v>
      </c>
      <c r="H36" s="107">
        <f>H31+H35</f>
        <v>134.79499999999993</v>
      </c>
      <c r="I36" s="107">
        <f>I31+I35</f>
        <v>641.2600000000001</v>
      </c>
      <c r="J36" s="107">
        <f>J31+J35</f>
        <v>960.26599999999939</v>
      </c>
      <c r="K36" s="107">
        <f>K31+K35</f>
        <v>722.53599999999994</v>
      </c>
      <c r="L36" s="147">
        <f>L31+L35</f>
        <v>377.43899999999996</v>
      </c>
      <c r="N36" s="110" t="s">
        <v>185</v>
      </c>
      <c r="O36" s="104">
        <f t="shared" ref="O36:S36" si="30">SUM(O29:O35)</f>
        <v>1301.9090000000001</v>
      </c>
      <c r="P36" s="104">
        <f t="shared" si="30"/>
        <v>959.49600000000009</v>
      </c>
      <c r="Q36" s="104">
        <f t="shared" si="30"/>
        <v>1600.4009999999998</v>
      </c>
      <c r="R36" s="104">
        <f t="shared" si="30"/>
        <v>1692.0730000000001</v>
      </c>
      <c r="S36" s="104">
        <f t="shared" si="30"/>
        <v>1539.8839999999998</v>
      </c>
      <c r="T36" s="104">
        <f t="shared" ref="T36:Y36" si="31">SUM(T29:T35)</f>
        <v>1680.8160000000003</v>
      </c>
      <c r="U36" s="104">
        <f t="shared" si="31"/>
        <v>2154.6630000000005</v>
      </c>
      <c r="V36" s="104">
        <f t="shared" si="31"/>
        <v>2742.7260000000001</v>
      </c>
      <c r="W36" s="104">
        <f t="shared" si="31"/>
        <v>3327.7280000000001</v>
      </c>
      <c r="X36" s="104">
        <f t="shared" si="31"/>
        <v>4146.68</v>
      </c>
      <c r="Y36" s="104">
        <f t="shared" si="31"/>
        <v>4249.7820000000002</v>
      </c>
    </row>
    <row r="37" spans="1:25" ht="15" customHeight="1">
      <c r="A37" s="124" t="s">
        <v>36</v>
      </c>
      <c r="B37" s="125"/>
      <c r="C37" s="125">
        <f t="shared" ref="C37:E37" si="32">C36/B36-1</f>
        <v>0.81652554320085491</v>
      </c>
      <c r="D37" s="125">
        <f t="shared" si="32"/>
        <v>-0.90260251395960533</v>
      </c>
      <c r="E37" s="125">
        <f t="shared" si="32"/>
        <v>-188.53079092477216</v>
      </c>
      <c r="F37" s="125">
        <f t="shared" ref="F37:I37" si="33">F36/E36-1</f>
        <v>0.36822508865544701</v>
      </c>
      <c r="G37" s="125">
        <f t="shared" si="33"/>
        <v>-0.72426740668874368</v>
      </c>
      <c r="H37" s="125">
        <f t="shared" si="33"/>
        <v>-1.801980751748002</v>
      </c>
      <c r="I37" s="125">
        <f t="shared" si="33"/>
        <v>3.7572981193664488</v>
      </c>
      <c r="J37" s="125">
        <f>J36/I36-1</f>
        <v>0.49746748588715839</v>
      </c>
      <c r="K37" s="125">
        <f>K36/J36-1</f>
        <v>-0.24756682002695041</v>
      </c>
      <c r="L37" s="125"/>
      <c r="N37" s="101"/>
      <c r="O37" s="105"/>
      <c r="P37" s="105"/>
      <c r="Q37" s="105"/>
      <c r="R37" s="105"/>
      <c r="S37" s="105"/>
      <c r="T37" s="105"/>
      <c r="U37" s="105"/>
      <c r="V37" s="101"/>
      <c r="W37" s="101"/>
      <c r="X37" s="101"/>
      <c r="Y37" s="101"/>
    </row>
    <row r="38" spans="1:25" ht="15" customHeight="1">
      <c r="A38" s="124" t="s">
        <v>37</v>
      </c>
      <c r="B38" s="126"/>
      <c r="C38" s="126"/>
      <c r="D38" s="126"/>
      <c r="E38" s="125">
        <f>((E36/B36)^(1/3)-1)</f>
        <v>-4.2133197788129362</v>
      </c>
      <c r="F38" s="125">
        <f>((F36/C36)^(1/3)-1)</f>
        <v>-3.9236539059674347</v>
      </c>
      <c r="G38" s="125">
        <f>((G36/D36)^(1/3)-1)</f>
        <v>-5.1359258766498161</v>
      </c>
      <c r="H38" s="125">
        <f>((H36/E36)^(1/3)-1)*-1</f>
        <v>1.6713307392663812</v>
      </c>
      <c r="I38" s="125">
        <f>((I36/F36)^(1/3)-1)*-1</f>
        <v>2.0170386855356179</v>
      </c>
      <c r="J38" s="125">
        <f>((J36/G36)^(1/3)-1)*-1</f>
        <v>2.787696972579095</v>
      </c>
      <c r="K38" s="125">
        <f>((K36/H36)^(1/3)-1)</f>
        <v>0.75009612204684983</v>
      </c>
      <c r="L38" s="125"/>
      <c r="N38" s="103" t="s">
        <v>101</v>
      </c>
      <c r="O38" s="104"/>
      <c r="P38" s="104">
        <v>0</v>
      </c>
      <c r="Q38" s="104">
        <v>0</v>
      </c>
      <c r="R38" s="104">
        <v>0</v>
      </c>
      <c r="S38" s="104">
        <v>0</v>
      </c>
      <c r="T38" s="104">
        <v>0</v>
      </c>
      <c r="U38" s="104">
        <v>0</v>
      </c>
      <c r="V38" s="104">
        <v>0</v>
      </c>
      <c r="W38" s="104">
        <v>0</v>
      </c>
      <c r="X38" s="104">
        <v>0</v>
      </c>
      <c r="Y38" s="104">
        <v>0</v>
      </c>
    </row>
    <row r="39" spans="1:25" ht="15" customHeight="1">
      <c r="A39" s="101" t="s">
        <v>50</v>
      </c>
      <c r="B39" s="105"/>
      <c r="C39" s="105"/>
      <c r="D39" s="105"/>
      <c r="E39" s="105"/>
      <c r="F39" s="105"/>
      <c r="G39" s="105"/>
      <c r="H39" s="101"/>
      <c r="I39" s="101"/>
      <c r="J39" s="101"/>
      <c r="K39" s="101"/>
      <c r="L39" s="101"/>
      <c r="M39" s="47"/>
      <c r="N39" s="101"/>
      <c r="O39" s="105"/>
      <c r="P39" s="105"/>
      <c r="Q39" s="105"/>
      <c r="R39" s="105"/>
      <c r="S39" s="105"/>
      <c r="T39" s="105"/>
      <c r="U39" s="105"/>
      <c r="V39" s="101"/>
      <c r="W39" s="101"/>
      <c r="X39" s="101"/>
      <c r="Y39" s="101"/>
    </row>
    <row r="40" spans="1:25" ht="15" customHeight="1">
      <c r="A40" s="109" t="s">
        <v>56</v>
      </c>
      <c r="B40" s="105">
        <v>0.46</v>
      </c>
      <c r="C40" s="105">
        <v>0.54</v>
      </c>
      <c r="D40" s="105">
        <v>0.06</v>
      </c>
      <c r="E40" s="105">
        <v>-9.91</v>
      </c>
      <c r="F40" s="105">
        <v>-13.56</v>
      </c>
      <c r="G40" s="134">
        <v>-3.73</v>
      </c>
      <c r="H40" s="105">
        <v>2.17</v>
      </c>
      <c r="I40" s="105">
        <v>9.68</v>
      </c>
      <c r="J40" s="105">
        <v>14.17</v>
      </c>
      <c r="K40" s="105">
        <v>10.6</v>
      </c>
      <c r="L40" s="105">
        <v>5.51</v>
      </c>
      <c r="M40" s="47"/>
      <c r="N40" s="106" t="s">
        <v>179</v>
      </c>
      <c r="O40" s="105"/>
      <c r="P40" s="105"/>
      <c r="Q40" s="105"/>
      <c r="R40" s="105"/>
      <c r="S40" s="105"/>
      <c r="T40" s="105"/>
      <c r="U40" s="105"/>
      <c r="V40" s="101"/>
      <c r="W40" s="101"/>
      <c r="X40" s="101"/>
      <c r="Y40" s="101"/>
    </row>
    <row r="41" spans="1:25" ht="15" customHeight="1">
      <c r="A41" s="109" t="s">
        <v>57</v>
      </c>
      <c r="B41" s="105">
        <v>0.46</v>
      </c>
      <c r="C41" s="105">
        <v>0.54</v>
      </c>
      <c r="D41" s="105">
        <v>0.06</v>
      </c>
      <c r="E41" s="105">
        <v>-9.91</v>
      </c>
      <c r="F41" s="105">
        <v>-13.56</v>
      </c>
      <c r="G41" s="134">
        <v>-3.73</v>
      </c>
      <c r="H41" s="105">
        <v>2.17</v>
      </c>
      <c r="I41" s="105">
        <v>9.68</v>
      </c>
      <c r="J41" s="105">
        <v>14.17</v>
      </c>
      <c r="K41" s="105">
        <v>10.6</v>
      </c>
      <c r="L41" s="105">
        <v>5.51</v>
      </c>
      <c r="N41" s="101" t="s">
        <v>17</v>
      </c>
      <c r="O41" s="102">
        <v>118.598</v>
      </c>
      <c r="P41" s="102">
        <v>195.78800000000001</v>
      </c>
      <c r="Q41" s="102">
        <v>374.33100000000002</v>
      </c>
      <c r="R41" s="102">
        <v>317.62299999999999</v>
      </c>
      <c r="S41" s="102">
        <v>108.078</v>
      </c>
      <c r="T41" s="102">
        <v>109.68899999999999</v>
      </c>
      <c r="U41" s="102">
        <f>(24.46+3104.33)/10</f>
        <v>312.87900000000002</v>
      </c>
      <c r="V41" s="101">
        <f>1.343+176.872</f>
        <v>178.215</v>
      </c>
      <c r="W41" s="101">
        <f>0.68+58.172</f>
        <v>58.851999999999997</v>
      </c>
      <c r="X41" s="101">
        <v>165.62100000000001</v>
      </c>
      <c r="Y41" s="101">
        <v>113.898</v>
      </c>
    </row>
    <row r="42" spans="1:25" ht="15" customHeight="1">
      <c r="A42" s="124" t="s">
        <v>36</v>
      </c>
      <c r="B42" s="125"/>
      <c r="C42" s="125"/>
      <c r="D42" s="125">
        <f t="shared" ref="D42:E42" si="34">D41/C41-1</f>
        <v>-0.88888888888888884</v>
      </c>
      <c r="E42" s="125">
        <f t="shared" si="34"/>
        <v>-166.16666666666669</v>
      </c>
      <c r="F42" s="125">
        <f t="shared" ref="F42:I42" si="35">F41/E41-1</f>
        <v>0.36831483350151362</v>
      </c>
      <c r="G42" s="125">
        <f t="shared" si="35"/>
        <v>-0.72492625368731567</v>
      </c>
      <c r="H42" s="125">
        <f t="shared" si="35"/>
        <v>-1.581769436997319</v>
      </c>
      <c r="I42" s="125">
        <f t="shared" si="35"/>
        <v>3.4608294930875578</v>
      </c>
      <c r="J42" s="125">
        <f>J41/I41-1</f>
        <v>0.46384297520661155</v>
      </c>
      <c r="K42" s="125">
        <f>K41/J41-1</f>
        <v>-0.25194071983062816</v>
      </c>
      <c r="L42" s="125"/>
      <c r="N42" s="101" t="s">
        <v>29</v>
      </c>
      <c r="O42" s="102">
        <v>285.73599999999999</v>
      </c>
      <c r="P42" s="102">
        <v>324.53800000000001</v>
      </c>
      <c r="Q42" s="102">
        <v>504.3</v>
      </c>
      <c r="R42" s="102">
        <v>1475.6510000000001</v>
      </c>
      <c r="S42" s="102">
        <v>2741.038</v>
      </c>
      <c r="T42" s="102">
        <v>48.155999999999999</v>
      </c>
      <c r="U42" s="102">
        <v>1.77</v>
      </c>
      <c r="V42" s="102">
        <v>1.02</v>
      </c>
      <c r="W42" s="102">
        <v>1.153</v>
      </c>
      <c r="X42" s="102">
        <v>40.86</v>
      </c>
      <c r="Y42" s="102">
        <v>55.359000000000002</v>
      </c>
    </row>
    <row r="43" spans="1:25" ht="15" customHeight="1">
      <c r="A43" s="124" t="s">
        <v>37</v>
      </c>
      <c r="B43" s="126"/>
      <c r="C43" s="126"/>
      <c r="D43" s="126"/>
      <c r="E43" s="125">
        <f>((E41/B41)^(1/3)-1)</f>
        <v>-3.7825220053381989</v>
      </c>
      <c r="F43" s="125">
        <f>((F41/C41)^(1/3)-1)</f>
        <v>-3.9283432145454418</v>
      </c>
      <c r="G43" s="125">
        <f>((G41/D41)^(1/3)-1)</f>
        <v>-4.9614349344105051</v>
      </c>
      <c r="H43" s="125">
        <f>((H41/E41)^(1/3)-1)*-1</f>
        <v>1.6027381671236502</v>
      </c>
      <c r="I43" s="125">
        <f>((I41/F41)^(1/3)-1)*-1</f>
        <v>1.8937277082755299</v>
      </c>
      <c r="J43" s="125">
        <f>((J41/G41)^(1/3)-1)*-1</f>
        <v>2.560343943166616</v>
      </c>
      <c r="K43" s="125">
        <f>((K41/H41)^(1/3)-1)</f>
        <v>0.69674030805620157</v>
      </c>
      <c r="L43" s="125"/>
      <c r="N43" s="101" t="s">
        <v>30</v>
      </c>
      <c r="O43" s="102">
        <v>115.45099999999999</v>
      </c>
      <c r="P43" s="102">
        <v>56.584000000000003</v>
      </c>
      <c r="Q43" s="102">
        <v>109.54300000000001</v>
      </c>
      <c r="R43" s="102">
        <v>145.96099999999998</v>
      </c>
      <c r="S43" s="102">
        <v>171.864</v>
      </c>
      <c r="T43" s="102">
        <v>205.59399999999999</v>
      </c>
      <c r="U43" s="102">
        <v>154.86199999999999</v>
      </c>
      <c r="V43" s="102">
        <v>144.36699999999999</v>
      </c>
      <c r="W43" s="102">
        <v>99.156000000000006</v>
      </c>
      <c r="X43" s="102">
        <v>154.66300000000001</v>
      </c>
      <c r="Y43" s="102">
        <v>135.553</v>
      </c>
    </row>
    <row r="44" spans="1:25" ht="15" customHeight="1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N44" s="101" t="s">
        <v>28</v>
      </c>
      <c r="O44" s="102">
        <v>1.409</v>
      </c>
      <c r="P44" s="102">
        <v>2.399</v>
      </c>
      <c r="Q44" s="102">
        <v>3.8079999999999998</v>
      </c>
      <c r="R44" s="102">
        <v>2.4079999999999999</v>
      </c>
      <c r="S44" s="102">
        <v>3.1670000000000003</v>
      </c>
      <c r="T44" s="102">
        <v>3.2189999999999999</v>
      </c>
      <c r="U44" s="102">
        <v>5.0270000000000001</v>
      </c>
      <c r="V44" s="102">
        <v>4.6539999999999999</v>
      </c>
      <c r="W44" s="102">
        <v>6.8289999999999997</v>
      </c>
      <c r="X44" s="102">
        <v>9.7799999999999994</v>
      </c>
      <c r="Y44" s="102">
        <v>9.7799999999999994</v>
      </c>
    </row>
    <row r="45" spans="1:25" ht="15" customHeight="1">
      <c r="A45" s="112" t="s">
        <v>59</v>
      </c>
      <c r="B45" s="100" t="s">
        <v>34</v>
      </c>
      <c r="C45" s="100" t="s">
        <v>35</v>
      </c>
      <c r="D45" s="100" t="s">
        <v>33</v>
      </c>
      <c r="E45" s="100" t="s">
        <v>1</v>
      </c>
      <c r="F45" s="100" t="s">
        <v>2</v>
      </c>
      <c r="G45" s="100" t="s">
        <v>51</v>
      </c>
      <c r="H45" s="100" t="s">
        <v>152</v>
      </c>
      <c r="I45" s="100" t="s">
        <v>170</v>
      </c>
      <c r="J45" s="100" t="s">
        <v>173</v>
      </c>
      <c r="K45" s="100" t="s">
        <v>177</v>
      </c>
      <c r="L45" s="142" t="s">
        <v>192</v>
      </c>
      <c r="N45" s="101" t="s">
        <v>18</v>
      </c>
      <c r="O45" s="102">
        <v>0</v>
      </c>
      <c r="P45" s="102">
        <v>0</v>
      </c>
      <c r="Q45" s="102">
        <v>0</v>
      </c>
      <c r="R45" s="102">
        <v>0</v>
      </c>
      <c r="S45" s="102">
        <v>0</v>
      </c>
      <c r="T45" s="102">
        <v>0</v>
      </c>
      <c r="U45" s="105">
        <v>0</v>
      </c>
      <c r="V45" s="102">
        <v>0</v>
      </c>
      <c r="W45" s="102">
        <v>0</v>
      </c>
      <c r="X45" s="102">
        <v>0</v>
      </c>
      <c r="Y45" s="102">
        <v>0</v>
      </c>
    </row>
    <row r="46" spans="1:25" ht="15" customHeight="1">
      <c r="A46" s="101" t="s">
        <v>60</v>
      </c>
      <c r="B46" s="123">
        <v>18.111818</v>
      </c>
      <c r="C46" s="102">
        <v>718.69200000000001</v>
      </c>
      <c r="D46" s="102">
        <f>(C51)</f>
        <v>24.230000000000473</v>
      </c>
      <c r="E46" s="102">
        <f t="shared" ref="E46:I46" si="36">(D51)</f>
        <v>256.9790000000005</v>
      </c>
      <c r="F46" s="102">
        <f t="shared" si="36"/>
        <v>44.364000000000487</v>
      </c>
      <c r="G46" s="102">
        <f t="shared" si="36"/>
        <v>34.447000000000571</v>
      </c>
      <c r="H46" s="102">
        <f t="shared" si="36"/>
        <v>53.505000000000564</v>
      </c>
      <c r="I46" s="102">
        <f t="shared" si="36"/>
        <v>32.052000000000561</v>
      </c>
      <c r="J46" s="102">
        <v>87.29</v>
      </c>
      <c r="K46" s="102">
        <f>J51</f>
        <v>83.182000000000059</v>
      </c>
      <c r="L46" s="102">
        <f>K51</f>
        <v>93.546000000000021</v>
      </c>
      <c r="N46" s="103" t="s">
        <v>186</v>
      </c>
      <c r="O46" s="104">
        <f t="shared" ref="O46:V46" si="37">SUM(O41:O45)</f>
        <v>521.19399999999996</v>
      </c>
      <c r="P46" s="104">
        <f t="shared" si="37"/>
        <v>579.30900000000008</v>
      </c>
      <c r="Q46" s="104">
        <f t="shared" si="37"/>
        <v>991.98200000000008</v>
      </c>
      <c r="R46" s="104">
        <f t="shared" si="37"/>
        <v>1941.643</v>
      </c>
      <c r="S46" s="104">
        <f t="shared" si="37"/>
        <v>3024.1469999999999</v>
      </c>
      <c r="T46" s="104">
        <f t="shared" si="37"/>
        <v>366.65799999999996</v>
      </c>
      <c r="U46" s="104">
        <f t="shared" si="37"/>
        <v>474.53799999999995</v>
      </c>
      <c r="V46" s="104">
        <f t="shared" si="37"/>
        <v>328.25599999999997</v>
      </c>
      <c r="W46" s="104">
        <f>SUM(W41:W45)</f>
        <v>165.99</v>
      </c>
      <c r="X46" s="104">
        <f>SUM(X41:X45)</f>
        <v>370.92399999999998</v>
      </c>
      <c r="Y46" s="104">
        <f>SUM(Y41:Y45)</f>
        <v>314.58999999999997</v>
      </c>
    </row>
    <row r="47" spans="1:25" ht="15" customHeight="1">
      <c r="A47" s="109" t="s">
        <v>61</v>
      </c>
      <c r="B47" s="123">
        <v>361.27176900000001</v>
      </c>
      <c r="C47" s="102">
        <v>170.10999999999999</v>
      </c>
      <c r="D47" s="102">
        <v>318.613</v>
      </c>
      <c r="E47" s="102">
        <v>827.71699999999998</v>
      </c>
      <c r="F47" s="102">
        <v>1509.0340000000001</v>
      </c>
      <c r="G47" s="102">
        <v>-2441.915</v>
      </c>
      <c r="H47" s="102">
        <v>236.54899999999998</v>
      </c>
      <c r="I47" s="102">
        <v>832.08199999999999</v>
      </c>
      <c r="J47" s="102">
        <v>852.24800000000005</v>
      </c>
      <c r="K47" s="102">
        <v>740.54399999999998</v>
      </c>
      <c r="L47" s="102">
        <v>557.89800000000002</v>
      </c>
      <c r="N47" s="103" t="s">
        <v>19</v>
      </c>
      <c r="O47" s="143">
        <f t="shared" ref="O47:S47" si="38">O36-O46</f>
        <v>780.71500000000015</v>
      </c>
      <c r="P47" s="143">
        <f t="shared" si="38"/>
        <v>380.18700000000001</v>
      </c>
      <c r="Q47" s="143">
        <f t="shared" si="38"/>
        <v>608.41899999999976</v>
      </c>
      <c r="R47" s="143">
        <f t="shared" si="38"/>
        <v>-249.56999999999994</v>
      </c>
      <c r="S47" s="104">
        <f t="shared" si="38"/>
        <v>-1484.2630000000001</v>
      </c>
      <c r="T47" s="104">
        <f t="shared" ref="T47:Y47" si="39">T36-T46</f>
        <v>1314.1580000000004</v>
      </c>
      <c r="U47" s="104">
        <f t="shared" si="39"/>
        <v>1680.1250000000005</v>
      </c>
      <c r="V47" s="104">
        <f t="shared" si="39"/>
        <v>2414.4700000000003</v>
      </c>
      <c r="W47" s="104">
        <f t="shared" si="39"/>
        <v>3161.7380000000003</v>
      </c>
      <c r="X47" s="104">
        <f t="shared" si="39"/>
        <v>3775.7560000000003</v>
      </c>
      <c r="Y47" s="104">
        <f t="shared" si="39"/>
        <v>3935.192</v>
      </c>
    </row>
    <row r="48" spans="1:25" ht="15" customHeight="1">
      <c r="A48" s="109" t="s">
        <v>62</v>
      </c>
      <c r="B48" s="123">
        <v>-1930.8120570000001</v>
      </c>
      <c r="C48" s="102">
        <v>-2587.8869999999997</v>
      </c>
      <c r="D48" s="102">
        <v>-984.154</v>
      </c>
      <c r="E48" s="102">
        <v>-143.38</v>
      </c>
      <c r="F48" s="102">
        <v>-2.4980000000000002</v>
      </c>
      <c r="G48" s="102">
        <v>-13.451000000000001</v>
      </c>
      <c r="H48" s="102">
        <v>-4.1230000000000002</v>
      </c>
      <c r="I48" s="102">
        <v>-134.69300000000001</v>
      </c>
      <c r="J48" s="102">
        <v>-249.98699999999999</v>
      </c>
      <c r="K48" s="102">
        <v>-619.25900000000001</v>
      </c>
      <c r="L48" s="102">
        <v>-245.20099999999999</v>
      </c>
      <c r="N48" s="106" t="s">
        <v>190</v>
      </c>
      <c r="O48" s="105"/>
      <c r="P48" s="105"/>
      <c r="Q48" s="105"/>
      <c r="R48" s="105"/>
      <c r="S48" s="105"/>
      <c r="T48" s="105"/>
      <c r="U48" s="105"/>
      <c r="V48" s="101"/>
      <c r="W48" s="101"/>
      <c r="X48" s="101"/>
      <c r="Y48" s="101"/>
    </row>
    <row r="49" spans="1:26" ht="15" customHeight="1">
      <c r="A49" s="109" t="s">
        <v>63</v>
      </c>
      <c r="B49" s="123">
        <v>2271.4053159999999</v>
      </c>
      <c r="C49" s="102">
        <v>1723.3150000000001</v>
      </c>
      <c r="D49" s="102">
        <v>898.29</v>
      </c>
      <c r="E49" s="102">
        <v>-896.952</v>
      </c>
      <c r="F49" s="102">
        <v>-1516.453</v>
      </c>
      <c r="G49" s="102">
        <v>2474.424</v>
      </c>
      <c r="H49" s="102">
        <v>-253.87899999999999</v>
      </c>
      <c r="I49" s="102">
        <v>-642.15300000000002</v>
      </c>
      <c r="J49" s="102">
        <v>-606.36900000000003</v>
      </c>
      <c r="K49" s="102">
        <v>-110.92100000000001</v>
      </c>
      <c r="L49" s="102">
        <v>-342.774</v>
      </c>
      <c r="N49" s="101" t="s">
        <v>150</v>
      </c>
      <c r="O49" s="102">
        <v>36.503</v>
      </c>
      <c r="P49" s="102">
        <v>41.275999999999996</v>
      </c>
      <c r="Q49" s="102">
        <v>41.397000000000006</v>
      </c>
      <c r="R49" s="102">
        <v>0</v>
      </c>
      <c r="S49" s="102">
        <v>0</v>
      </c>
      <c r="T49" s="102">
        <v>0</v>
      </c>
      <c r="U49" s="105">
        <v>0</v>
      </c>
      <c r="V49" s="102">
        <v>0</v>
      </c>
      <c r="W49" s="102">
        <v>0</v>
      </c>
      <c r="X49" s="102">
        <v>0</v>
      </c>
      <c r="Y49" s="102">
        <v>564.09799999999996</v>
      </c>
    </row>
    <row r="50" spans="1:26" ht="15" customHeight="1">
      <c r="A50" s="135" t="s">
        <v>64</v>
      </c>
      <c r="B50" s="136">
        <f t="shared" ref="B50" si="40">SUM(B47:B49)</f>
        <v>701.86502799999971</v>
      </c>
      <c r="C50" s="137">
        <f>SUM(C47:C49)</f>
        <v>-694.46199999999953</v>
      </c>
      <c r="D50" s="137">
        <f t="shared" ref="D50" si="41">SUM(D47:D49)</f>
        <v>232.74900000000002</v>
      </c>
      <c r="E50" s="137">
        <f t="shared" ref="E50" si="42">SUM(E47:E49)</f>
        <v>-212.61500000000001</v>
      </c>
      <c r="F50" s="137">
        <f t="shared" ref="F50" si="43">SUM(F47:F49)</f>
        <v>-9.9169999999999163</v>
      </c>
      <c r="G50" s="137">
        <f t="shared" ref="G50:I50" si="44">SUM(G47:G49)</f>
        <v>19.057999999999993</v>
      </c>
      <c r="H50" s="137">
        <f t="shared" si="44"/>
        <v>-21.453000000000003</v>
      </c>
      <c r="I50" s="137">
        <f t="shared" si="44"/>
        <v>55.23599999999999</v>
      </c>
      <c r="J50" s="137">
        <f>SUM(J47:J49)</f>
        <v>-4.1079999999999472</v>
      </c>
      <c r="K50" s="137">
        <f>SUM(K47:K49)</f>
        <v>10.363999999999962</v>
      </c>
      <c r="L50" s="137">
        <f>SUM(L47:L49)</f>
        <v>-30.076999999999998</v>
      </c>
      <c r="N50" s="101" t="s">
        <v>23</v>
      </c>
      <c r="O50" s="102">
        <v>256.31700000000001</v>
      </c>
      <c r="P50" s="102">
        <v>252.5</v>
      </c>
      <c r="Q50" s="102">
        <v>32.5</v>
      </c>
      <c r="R50" s="102">
        <v>32.5</v>
      </c>
      <c r="S50" s="102">
        <v>32.5</v>
      </c>
      <c r="T50" s="102">
        <v>32.5</v>
      </c>
      <c r="U50" s="102">
        <v>32.5</v>
      </c>
      <c r="V50" s="102">
        <v>36.863</v>
      </c>
      <c r="W50" s="102">
        <v>37.256</v>
      </c>
      <c r="X50" s="102">
        <v>32.6</v>
      </c>
      <c r="Y50" s="102">
        <f>65.759+1.914</f>
        <v>67.673000000000002</v>
      </c>
    </row>
    <row r="51" spans="1:26" ht="15" customHeight="1">
      <c r="A51" s="103" t="s">
        <v>65</v>
      </c>
      <c r="B51" s="104">
        <f t="shared" ref="B51:F51" si="45">B46+B50</f>
        <v>719.97684599999968</v>
      </c>
      <c r="C51" s="104">
        <f t="shared" si="45"/>
        <v>24.230000000000473</v>
      </c>
      <c r="D51" s="104">
        <f t="shared" si="45"/>
        <v>256.9790000000005</v>
      </c>
      <c r="E51" s="104">
        <f t="shared" si="45"/>
        <v>44.364000000000487</v>
      </c>
      <c r="F51" s="104">
        <f t="shared" si="45"/>
        <v>34.447000000000571</v>
      </c>
      <c r="G51" s="104">
        <f t="shared" ref="G51:L51" si="46">G46+G50</f>
        <v>53.505000000000564</v>
      </c>
      <c r="H51" s="104">
        <f t="shared" si="46"/>
        <v>32.052000000000561</v>
      </c>
      <c r="I51" s="104">
        <f t="shared" si="46"/>
        <v>87.288000000000551</v>
      </c>
      <c r="J51" s="104">
        <f t="shared" si="46"/>
        <v>83.182000000000059</v>
      </c>
      <c r="K51" s="104">
        <f t="shared" si="46"/>
        <v>93.546000000000021</v>
      </c>
      <c r="L51" s="104">
        <f t="shared" si="46"/>
        <v>63.469000000000023</v>
      </c>
      <c r="N51" s="109" t="s">
        <v>145</v>
      </c>
      <c r="O51" s="102">
        <v>8.4269999999999996</v>
      </c>
      <c r="P51" s="102">
        <v>11.016999999999999</v>
      </c>
      <c r="Q51" s="102">
        <v>14.331999999999999</v>
      </c>
      <c r="R51" s="102">
        <v>17.368000000000002</v>
      </c>
      <c r="S51" s="102">
        <v>17.215</v>
      </c>
      <c r="T51" s="102">
        <v>20.945</v>
      </c>
      <c r="U51" s="102">
        <v>25.055</v>
      </c>
      <c r="V51" s="102">
        <v>28.097999999999999</v>
      </c>
      <c r="W51" s="102">
        <v>38.305</v>
      </c>
      <c r="X51" s="101">
        <v>42.796999999999997</v>
      </c>
      <c r="Y51" s="101">
        <v>46.256999999999998</v>
      </c>
    </row>
    <row r="52" spans="1:26" ht="15" customHeight="1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N52" s="103" t="s">
        <v>187</v>
      </c>
      <c r="O52" s="103">
        <f t="shared" ref="O52:Q52" si="47">SUM(O49:O51)</f>
        <v>301.24700000000001</v>
      </c>
      <c r="P52" s="103">
        <f t="shared" si="47"/>
        <v>304.79300000000001</v>
      </c>
      <c r="Q52" s="103">
        <f t="shared" si="47"/>
        <v>88.228999999999999</v>
      </c>
      <c r="R52" s="103">
        <f t="shared" ref="R52:V52" si="48">SUM(R49:R51)</f>
        <v>49.868000000000002</v>
      </c>
      <c r="S52" s="103">
        <f t="shared" si="48"/>
        <v>49.715000000000003</v>
      </c>
      <c r="T52" s="103">
        <f t="shared" si="48"/>
        <v>53.445</v>
      </c>
      <c r="U52" s="103">
        <f t="shared" si="48"/>
        <v>57.555</v>
      </c>
      <c r="V52" s="103">
        <f t="shared" si="48"/>
        <v>64.960999999999999</v>
      </c>
      <c r="W52" s="145">
        <f>SUM(W49:W51)</f>
        <v>75.561000000000007</v>
      </c>
      <c r="X52" s="145">
        <f>SUM(X49:X51)</f>
        <v>75.396999999999991</v>
      </c>
      <c r="Y52" s="145">
        <f>SUM(Y49:Y51)</f>
        <v>678.02799999999991</v>
      </c>
    </row>
    <row r="53" spans="1:26" ht="15" customHeight="1">
      <c r="A53" s="112" t="s">
        <v>66</v>
      </c>
      <c r="B53" s="100" t="s">
        <v>34</v>
      </c>
      <c r="C53" s="100" t="s">
        <v>35</v>
      </c>
      <c r="D53" s="100" t="s">
        <v>33</v>
      </c>
      <c r="E53" s="100" t="s">
        <v>1</v>
      </c>
      <c r="F53" s="100" t="s">
        <v>2</v>
      </c>
      <c r="G53" s="100" t="s">
        <v>51</v>
      </c>
      <c r="H53" s="100" t="s">
        <v>152</v>
      </c>
      <c r="I53" s="100" t="s">
        <v>170</v>
      </c>
      <c r="J53" s="100" t="s">
        <v>173</v>
      </c>
      <c r="K53" s="100" t="s">
        <v>177</v>
      </c>
      <c r="L53" s="142" t="s">
        <v>192</v>
      </c>
      <c r="N53" s="101"/>
      <c r="O53" s="107"/>
      <c r="P53" s="107"/>
      <c r="Q53" s="107"/>
      <c r="R53" s="107"/>
      <c r="S53" s="107"/>
      <c r="T53" s="107"/>
      <c r="U53" s="107"/>
      <c r="V53" s="101"/>
      <c r="W53" s="101"/>
      <c r="X53" s="101"/>
      <c r="Y53" s="101"/>
    </row>
    <row r="54" spans="1:26" ht="15" customHeight="1">
      <c r="A54" s="101" t="s">
        <v>67</v>
      </c>
      <c r="B54" s="105">
        <f t="shared" ref="B54:F54" si="49">B47</f>
        <v>361.27176900000001</v>
      </c>
      <c r="C54" s="105">
        <f t="shared" si="49"/>
        <v>170.10999999999999</v>
      </c>
      <c r="D54" s="105">
        <f t="shared" si="49"/>
        <v>318.613</v>
      </c>
      <c r="E54" s="105">
        <f t="shared" si="49"/>
        <v>827.71699999999998</v>
      </c>
      <c r="F54" s="105">
        <f t="shared" si="49"/>
        <v>1509.0340000000001</v>
      </c>
      <c r="G54" s="105">
        <f t="shared" ref="G54:L54" si="50">G47</f>
        <v>-2441.915</v>
      </c>
      <c r="H54" s="105">
        <f t="shared" si="50"/>
        <v>236.54899999999998</v>
      </c>
      <c r="I54" s="105">
        <f t="shared" si="50"/>
        <v>832.08199999999999</v>
      </c>
      <c r="J54" s="105">
        <f t="shared" si="50"/>
        <v>852.24800000000005</v>
      </c>
      <c r="K54" s="105">
        <f t="shared" si="50"/>
        <v>740.54399999999998</v>
      </c>
      <c r="L54" s="105">
        <f t="shared" si="50"/>
        <v>557.89800000000002</v>
      </c>
      <c r="N54" s="101" t="s">
        <v>100</v>
      </c>
      <c r="O54" s="107"/>
      <c r="P54" s="105">
        <v>0</v>
      </c>
      <c r="Q54" s="105">
        <v>0</v>
      </c>
      <c r="R54" s="105">
        <v>0</v>
      </c>
      <c r="S54" s="105">
        <v>0</v>
      </c>
      <c r="T54" s="105">
        <v>0</v>
      </c>
      <c r="U54" s="105">
        <v>0</v>
      </c>
      <c r="V54" s="105">
        <v>0</v>
      </c>
      <c r="W54" s="105">
        <v>0</v>
      </c>
      <c r="X54" s="105">
        <v>0</v>
      </c>
      <c r="Y54" s="105">
        <v>0</v>
      </c>
    </row>
    <row r="55" spans="1:26" ht="15" customHeight="1">
      <c r="A55" s="114" t="s">
        <v>68</v>
      </c>
      <c r="B55" s="113"/>
      <c r="C55" s="115">
        <f>O17-P17</f>
        <v>-2750.4870000000001</v>
      </c>
      <c r="D55" s="115">
        <f t="shared" ref="D55:H55" si="51">P17-Q17</f>
        <v>-2255.1919999999996</v>
      </c>
      <c r="E55" s="115">
        <f t="shared" si="51"/>
        <v>51.256999999999607</v>
      </c>
      <c r="F55" s="115">
        <f>R17-S17</f>
        <v>217.05199999999968</v>
      </c>
      <c r="G55" s="115">
        <f t="shared" si="51"/>
        <v>259.43299999999999</v>
      </c>
      <c r="H55" s="115">
        <f t="shared" si="51"/>
        <v>211.61100000000079</v>
      </c>
      <c r="I55" s="115">
        <f>U17-V17</f>
        <v>105.75900000000001</v>
      </c>
      <c r="J55" s="115">
        <f>156.912-0.09</f>
        <v>156.822</v>
      </c>
      <c r="K55" s="115">
        <f>304.992-2.525</f>
        <v>302.46700000000004</v>
      </c>
      <c r="L55" s="115">
        <v>97.525000000000006</v>
      </c>
      <c r="N55" s="101"/>
      <c r="O55" s="105"/>
      <c r="P55" s="105"/>
      <c r="Q55" s="105"/>
      <c r="R55" s="105"/>
      <c r="S55" s="105"/>
      <c r="T55" s="105"/>
      <c r="U55" s="105"/>
      <c r="V55" s="105"/>
      <c r="W55" s="101"/>
      <c r="X55" s="101"/>
      <c r="Y55" s="101"/>
    </row>
    <row r="56" spans="1:26" ht="15" customHeight="1">
      <c r="A56" s="103" t="s">
        <v>69</v>
      </c>
      <c r="B56" s="104">
        <f>SUM(B54:B55)</f>
        <v>361.27176900000001</v>
      </c>
      <c r="C56" s="104">
        <f t="shared" ref="C56:G56" si="52">SUM(C54:C55)</f>
        <v>-2580.377</v>
      </c>
      <c r="D56" s="104">
        <f t="shared" si="52"/>
        <v>-1936.5789999999995</v>
      </c>
      <c r="E56" s="104">
        <f t="shared" si="52"/>
        <v>878.97399999999959</v>
      </c>
      <c r="F56" s="104">
        <f t="shared" si="52"/>
        <v>1726.0859999999998</v>
      </c>
      <c r="G56" s="104">
        <f t="shared" si="52"/>
        <v>-2182.482</v>
      </c>
      <c r="H56" s="104">
        <f>SUM(H54:H55)</f>
        <v>448.16000000000076</v>
      </c>
      <c r="I56" s="104">
        <f>SUM(I54:I55)</f>
        <v>937.84100000000001</v>
      </c>
      <c r="J56" s="104">
        <f>J54-J55</f>
        <v>695.42600000000004</v>
      </c>
      <c r="K56" s="104">
        <f>K54-K55</f>
        <v>438.07699999999994</v>
      </c>
      <c r="L56" s="104">
        <f>L54-L55</f>
        <v>460.37300000000005</v>
      </c>
      <c r="N56" s="103" t="s">
        <v>21</v>
      </c>
      <c r="O56" s="104">
        <f>O6+O10+O46+O52</f>
        <v>4157.759</v>
      </c>
      <c r="P56" s="104">
        <f t="shared" ref="P56:X56" si="53">P6+P10+P46+P52+P54</f>
        <v>5992.4739999999993</v>
      </c>
      <c r="Q56" s="104">
        <f t="shared" si="53"/>
        <v>7364.2979999999998</v>
      </c>
      <c r="R56" s="104">
        <f t="shared" si="53"/>
        <v>7669.16</v>
      </c>
      <c r="S56" s="104">
        <f t="shared" si="53"/>
        <v>7523.2240000000002</v>
      </c>
      <c r="T56" s="104">
        <f t="shared" si="53"/>
        <v>7465.152</v>
      </c>
      <c r="U56" s="104">
        <f t="shared" si="53"/>
        <v>7737.6819999999989</v>
      </c>
      <c r="V56" s="104">
        <f t="shared" si="53"/>
        <v>7811.6690000000008</v>
      </c>
      <c r="W56" s="104">
        <f t="shared" si="53"/>
        <v>8171.7979999999989</v>
      </c>
      <c r="X56" s="104">
        <f t="shared" si="53"/>
        <v>9122.393</v>
      </c>
      <c r="Y56" s="104">
        <f>Y6+Y10+Y46+Y52+Y54</f>
        <v>9770.6440000000002</v>
      </c>
    </row>
    <row r="57" spans="1:26" ht="15" customHeight="1">
      <c r="A57" s="101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N57" s="103" t="s">
        <v>20</v>
      </c>
      <c r="O57" s="104">
        <f>O26+O36</f>
        <v>4157.7610000000004</v>
      </c>
      <c r="P57" s="104">
        <f t="shared" ref="P57:W57" si="54">P26+P36+P38</f>
        <v>5992.4760000000006</v>
      </c>
      <c r="Q57" s="104">
        <f t="shared" si="54"/>
        <v>7364.2939999999999</v>
      </c>
      <c r="R57" s="104">
        <f t="shared" si="54"/>
        <v>7669.2050000000008</v>
      </c>
      <c r="S57" s="104">
        <f t="shared" si="54"/>
        <v>7523.2290000000003</v>
      </c>
      <c r="T57" s="104">
        <f t="shared" si="54"/>
        <v>7465.1540000000005</v>
      </c>
      <c r="U57" s="104">
        <f t="shared" si="54"/>
        <v>7737.6820000000007</v>
      </c>
      <c r="V57" s="104">
        <f t="shared" si="54"/>
        <v>7811.6680000000015</v>
      </c>
      <c r="W57" s="104">
        <f t="shared" si="54"/>
        <v>8171.7980000000007</v>
      </c>
      <c r="X57" s="104">
        <f t="shared" ref="X57:Y57" si="55">X26+X36+X38</f>
        <v>9122.3940000000002</v>
      </c>
      <c r="Y57" s="104">
        <f t="shared" si="55"/>
        <v>9770.643</v>
      </c>
    </row>
    <row r="58" spans="1:26" ht="15" customHeight="1">
      <c r="A58" s="112" t="s">
        <v>66</v>
      </c>
      <c r="B58" s="100" t="s">
        <v>34</v>
      </c>
      <c r="C58" s="100" t="s">
        <v>35</v>
      </c>
      <c r="D58" s="100" t="s">
        <v>33</v>
      </c>
      <c r="E58" s="100" t="s">
        <v>1</v>
      </c>
      <c r="F58" s="100" t="s">
        <v>2</v>
      </c>
      <c r="G58" s="100" t="s">
        <v>51</v>
      </c>
      <c r="H58" s="100" t="s">
        <v>152</v>
      </c>
      <c r="I58" s="100" t="s">
        <v>170</v>
      </c>
      <c r="J58" s="100" t="s">
        <v>173</v>
      </c>
      <c r="K58" s="100" t="s">
        <v>177</v>
      </c>
      <c r="L58" s="142" t="s">
        <v>192</v>
      </c>
      <c r="N58" s="101"/>
      <c r="O58" s="101"/>
      <c r="P58" s="101"/>
      <c r="Q58" s="101"/>
      <c r="R58" s="101"/>
      <c r="S58" s="101"/>
      <c r="T58" s="105"/>
      <c r="U58" s="105"/>
      <c r="V58" s="101"/>
      <c r="W58" s="101"/>
      <c r="X58" s="101"/>
      <c r="Y58" s="101"/>
    </row>
    <row r="59" spans="1:26" ht="15" customHeight="1">
      <c r="A59" s="101" t="s">
        <v>111</v>
      </c>
      <c r="B59" s="105">
        <f t="shared" ref="B59" si="56">49603520/10^6</f>
        <v>49.603520000000003</v>
      </c>
      <c r="C59" s="113">
        <v>44.952247999999997</v>
      </c>
      <c r="D59" s="113">
        <v>44.952247999999997</v>
      </c>
      <c r="E59" s="113">
        <v>44.952247999999997</v>
      </c>
      <c r="F59" s="113">
        <v>44.952247999999997</v>
      </c>
      <c r="G59" s="113">
        <v>62.573202999999999</v>
      </c>
      <c r="H59" s="105">
        <v>63.24</v>
      </c>
      <c r="I59" s="105">
        <v>67.900000000000006</v>
      </c>
      <c r="J59" s="113">
        <f>68041973/10^6</f>
        <v>68.041972999999999</v>
      </c>
      <c r="K59" s="113">
        <f>68448880/1000000</f>
        <v>68.448880000000003</v>
      </c>
      <c r="L59" s="113">
        <f>68584648/10^6</f>
        <v>68.584648000000001</v>
      </c>
      <c r="N59" s="112" t="s">
        <v>66</v>
      </c>
      <c r="O59" s="100" t="s">
        <v>34</v>
      </c>
      <c r="P59" s="100" t="s">
        <v>35</v>
      </c>
      <c r="Q59" s="100" t="s">
        <v>33</v>
      </c>
      <c r="R59" s="100" t="s">
        <v>1</v>
      </c>
      <c r="S59" s="100" t="s">
        <v>2</v>
      </c>
      <c r="T59" s="100" t="s">
        <v>51</v>
      </c>
      <c r="U59" s="100" t="s">
        <v>152</v>
      </c>
      <c r="V59" s="100" t="s">
        <v>170</v>
      </c>
      <c r="W59" s="100" t="s">
        <v>173</v>
      </c>
      <c r="X59" s="100" t="s">
        <v>177</v>
      </c>
      <c r="Y59" s="100" t="s">
        <v>192</v>
      </c>
    </row>
    <row r="60" spans="1:26" ht="15" customHeight="1">
      <c r="A60" s="101" t="s">
        <v>112</v>
      </c>
      <c r="B60" s="105">
        <v>1</v>
      </c>
      <c r="C60" s="113">
        <v>10</v>
      </c>
      <c r="D60" s="113">
        <v>10</v>
      </c>
      <c r="E60" s="113">
        <v>10</v>
      </c>
      <c r="F60" s="113">
        <v>10</v>
      </c>
      <c r="G60" s="113">
        <v>10</v>
      </c>
      <c r="H60" s="105">
        <v>10</v>
      </c>
      <c r="I60" s="105">
        <v>10</v>
      </c>
      <c r="J60" s="105">
        <v>10</v>
      </c>
      <c r="K60" s="105">
        <v>10</v>
      </c>
      <c r="L60" s="105">
        <v>10</v>
      </c>
      <c r="N60" s="101" t="s">
        <v>75</v>
      </c>
      <c r="O60" s="105">
        <v>32.950000000000003</v>
      </c>
      <c r="P60" s="105">
        <v>43.45</v>
      </c>
      <c r="Q60" s="105">
        <v>58.3</v>
      </c>
      <c r="R60" s="105">
        <v>28.1</v>
      </c>
      <c r="S60" s="105">
        <v>10.8</v>
      </c>
      <c r="T60" s="105">
        <v>73.2</v>
      </c>
      <c r="U60" s="113">
        <v>68</v>
      </c>
      <c r="V60" s="113">
        <v>155.19999999999999</v>
      </c>
      <c r="W60" s="113">
        <v>275.2</v>
      </c>
      <c r="X60" s="113">
        <v>192.8</v>
      </c>
      <c r="Y60" s="113">
        <v>170.75</v>
      </c>
    </row>
    <row r="61" spans="1:26" ht="15" customHeight="1">
      <c r="A61" s="114" t="s">
        <v>73</v>
      </c>
      <c r="B61" s="115">
        <f t="shared" ref="B61:K61" si="57">B59*O60</f>
        <v>1634.4359840000002</v>
      </c>
      <c r="C61" s="115">
        <f t="shared" si="57"/>
        <v>1953.1751756000001</v>
      </c>
      <c r="D61" s="115">
        <f t="shared" si="57"/>
        <v>2620.7160583999998</v>
      </c>
      <c r="E61" s="115">
        <f t="shared" si="57"/>
        <v>1263.1581687999999</v>
      </c>
      <c r="F61" s="115">
        <f t="shared" si="57"/>
        <v>485.48427839999999</v>
      </c>
      <c r="G61" s="115">
        <f t="shared" si="57"/>
        <v>4580.3584596000001</v>
      </c>
      <c r="H61" s="115">
        <f t="shared" si="57"/>
        <v>4300.32</v>
      </c>
      <c r="I61" s="115">
        <f t="shared" si="57"/>
        <v>10538.08</v>
      </c>
      <c r="J61" s="115">
        <f t="shared" si="57"/>
        <v>18725.150969599999</v>
      </c>
      <c r="K61" s="115">
        <f t="shared" si="57"/>
        <v>13196.944064000001</v>
      </c>
      <c r="L61" s="115">
        <f>L59*Y60</f>
        <v>11710.828646</v>
      </c>
      <c r="N61" s="114" t="s">
        <v>76</v>
      </c>
      <c r="O61" s="115">
        <f t="shared" ref="O61:X61" si="58">B41</f>
        <v>0.46</v>
      </c>
      <c r="P61" s="115">
        <f t="shared" si="58"/>
        <v>0.54</v>
      </c>
      <c r="Q61" s="115">
        <f t="shared" si="58"/>
        <v>0.06</v>
      </c>
      <c r="R61" s="115">
        <f t="shared" si="58"/>
        <v>-9.91</v>
      </c>
      <c r="S61" s="115">
        <f t="shared" si="58"/>
        <v>-13.56</v>
      </c>
      <c r="T61" s="116">
        <f t="shared" si="58"/>
        <v>-3.73</v>
      </c>
      <c r="U61" s="115">
        <f t="shared" si="58"/>
        <v>2.17</v>
      </c>
      <c r="V61" s="115">
        <f t="shared" si="58"/>
        <v>9.68</v>
      </c>
      <c r="W61" s="115">
        <f t="shared" si="58"/>
        <v>14.17</v>
      </c>
      <c r="X61" s="115">
        <f t="shared" si="58"/>
        <v>10.6</v>
      </c>
      <c r="Y61" s="115">
        <f>X61+L41-5.41</f>
        <v>10.7</v>
      </c>
      <c r="Z61" t="s">
        <v>191</v>
      </c>
    </row>
    <row r="62" spans="1:26" ht="15" customHeight="1">
      <c r="A62" s="114" t="s">
        <v>71</v>
      </c>
      <c r="B62" s="115">
        <f t="shared" ref="B62:J62" si="59">O10</f>
        <v>1952.3620000000001</v>
      </c>
      <c r="C62" s="115">
        <f t="shared" si="59"/>
        <v>3701.0959999999995</v>
      </c>
      <c r="D62" s="115">
        <f t="shared" si="59"/>
        <v>4851.2289999999994</v>
      </c>
      <c r="E62" s="115">
        <f t="shared" si="59"/>
        <v>4680.5689999999995</v>
      </c>
      <c r="F62" s="115">
        <f t="shared" si="59"/>
        <v>4058.8109999999997</v>
      </c>
      <c r="G62" s="115">
        <f t="shared" si="59"/>
        <v>2693.45</v>
      </c>
      <c r="H62" s="115">
        <f t="shared" si="59"/>
        <v>2688.5299999999997</v>
      </c>
      <c r="I62" s="115">
        <f t="shared" si="59"/>
        <v>1816.941</v>
      </c>
      <c r="J62" s="115">
        <f t="shared" si="59"/>
        <v>1322.2829999999999</v>
      </c>
      <c r="K62" s="115">
        <f>X10</f>
        <v>1310.3020000000001</v>
      </c>
      <c r="L62" s="115">
        <f>Y10</f>
        <v>1016.1369999999999</v>
      </c>
      <c r="N62" s="114" t="s">
        <v>77</v>
      </c>
      <c r="O62" s="115">
        <f t="shared" ref="O62:X62" si="60">O6/B59</f>
        <v>27.880198824599546</v>
      </c>
      <c r="P62" s="115">
        <f t="shared" si="60"/>
        <v>31.30602055763708</v>
      </c>
      <c r="Q62" s="115">
        <f t="shared" si="60"/>
        <v>31.875113342496249</v>
      </c>
      <c r="R62" s="115">
        <f t="shared" si="60"/>
        <v>22.180870687490426</v>
      </c>
      <c r="S62" s="115">
        <f t="shared" si="60"/>
        <v>8.688130569131939</v>
      </c>
      <c r="T62" s="115">
        <f t="shared" si="60"/>
        <v>69.544130576150948</v>
      </c>
      <c r="U62" s="115">
        <f t="shared" si="60"/>
        <v>71.427245414294731</v>
      </c>
      <c r="V62" s="115">
        <f t="shared" si="60"/>
        <v>82.496480117820326</v>
      </c>
      <c r="W62" s="115">
        <f t="shared" si="60"/>
        <v>97.115996327737292</v>
      </c>
      <c r="X62" s="115">
        <f t="shared" si="60"/>
        <v>107.60979580673929</v>
      </c>
      <c r="Y62" s="115">
        <f>Y6/L59</f>
        <v>113.17239683143083</v>
      </c>
    </row>
    <row r="63" spans="1:26" ht="15" customHeight="1">
      <c r="A63" s="114" t="s">
        <v>72</v>
      </c>
      <c r="B63" s="115">
        <f t="shared" ref="B63:G63" si="61">O32+O33</f>
        <v>718.69200000000001</v>
      </c>
      <c r="C63" s="115">
        <f t="shared" si="61"/>
        <v>24.229999999999997</v>
      </c>
      <c r="D63" s="115">
        <f t="shared" si="61"/>
        <v>256.97899999999998</v>
      </c>
      <c r="E63" s="115">
        <f t="shared" si="61"/>
        <v>44.363999999999997</v>
      </c>
      <c r="F63" s="115">
        <f t="shared" si="61"/>
        <v>34.448</v>
      </c>
      <c r="G63" s="115">
        <f t="shared" si="61"/>
        <v>53.505999999999993</v>
      </c>
      <c r="H63" s="115">
        <f>U32+U33</f>
        <v>32.052</v>
      </c>
      <c r="I63" s="115">
        <f>V32+V33</f>
        <v>87.287000000000006</v>
      </c>
      <c r="J63" s="115">
        <f>W32+W33</f>
        <v>83.179999999999993</v>
      </c>
      <c r="K63" s="115">
        <f>X32+X33</f>
        <v>93.542999999999992</v>
      </c>
      <c r="L63" s="115">
        <f>Y32+Y33</f>
        <v>63.466000000000001</v>
      </c>
      <c r="N63" s="101" t="s">
        <v>78</v>
      </c>
      <c r="O63" s="105">
        <f>18%*B60</f>
        <v>0.18</v>
      </c>
      <c r="P63" s="105">
        <f>15%*C60</f>
        <v>1.5</v>
      </c>
      <c r="Q63" s="105">
        <f>15%*D60</f>
        <v>1.5</v>
      </c>
      <c r="R63" s="105">
        <f>15%*E60</f>
        <v>1.5</v>
      </c>
      <c r="S63" s="105">
        <f>15%*F60</f>
        <v>1.5</v>
      </c>
      <c r="T63" s="105">
        <f>20%*G60</f>
        <v>2</v>
      </c>
      <c r="U63" s="105">
        <f>20%*H60</f>
        <v>2</v>
      </c>
      <c r="V63" s="113">
        <v>0</v>
      </c>
      <c r="W63" s="113">
        <v>0</v>
      </c>
      <c r="X63" s="113">
        <v>0</v>
      </c>
      <c r="Y63" s="113">
        <v>0</v>
      </c>
    </row>
    <row r="64" spans="1:26" ht="15" customHeight="1">
      <c r="A64" s="103" t="s">
        <v>74</v>
      </c>
      <c r="B64" s="104">
        <f>SUM(B61:B62)-B63</f>
        <v>2868.1059840000003</v>
      </c>
      <c r="C64" s="104">
        <f t="shared" ref="C64:F64" si="62">SUM(C61:C62)-C63</f>
        <v>5630.0411756000003</v>
      </c>
      <c r="D64" s="104">
        <f t="shared" si="62"/>
        <v>7214.9660583999985</v>
      </c>
      <c r="E64" s="104">
        <f t="shared" si="62"/>
        <v>5899.3631687999996</v>
      </c>
      <c r="F64" s="104">
        <f t="shared" si="62"/>
        <v>4509.8472783999996</v>
      </c>
      <c r="G64" s="104">
        <f t="shared" ref="G64" si="63">SUM(G61:G62)-G63</f>
        <v>7220.3024595999996</v>
      </c>
      <c r="H64" s="104">
        <f t="shared" ref="H64:I64" si="64">SUM(H61:H62)-H63</f>
        <v>6956.7979999999998</v>
      </c>
      <c r="I64" s="104">
        <f t="shared" si="64"/>
        <v>12267.734</v>
      </c>
      <c r="J64" s="104">
        <f>SUM(J61:J62)-J63</f>
        <v>19964.253969599999</v>
      </c>
      <c r="K64" s="104">
        <f>SUM(K61:K62)-K63</f>
        <v>14413.703064000001</v>
      </c>
      <c r="L64" s="104">
        <f>SUM(L61:L62)-L63</f>
        <v>12663.499646</v>
      </c>
      <c r="N64" s="114" t="s">
        <v>79</v>
      </c>
      <c r="O64" s="115">
        <f t="shared" ref="O64:T64" si="65">O60/O61</f>
        <v>71.630434782608702</v>
      </c>
      <c r="P64" s="115">
        <f t="shared" si="65"/>
        <v>80.462962962962962</v>
      </c>
      <c r="Q64" s="115">
        <f t="shared" si="65"/>
        <v>971.66666666666663</v>
      </c>
      <c r="R64" s="115">
        <f t="shared" si="65"/>
        <v>-2.8355196770938447</v>
      </c>
      <c r="S64" s="115">
        <f t="shared" si="65"/>
        <v>-0.79646017699115046</v>
      </c>
      <c r="T64" s="115">
        <f t="shared" si="65"/>
        <v>-19.624664879356569</v>
      </c>
      <c r="U64" s="116">
        <f>U60/5.61</f>
        <v>12.121212121212121</v>
      </c>
      <c r="V64" s="116">
        <f>V60/I41</f>
        <v>16.033057851239668</v>
      </c>
      <c r="W64" s="116">
        <f>W60/W61</f>
        <v>19.421312632321804</v>
      </c>
      <c r="X64" s="116">
        <f>X60/X61</f>
        <v>18.188679245283019</v>
      </c>
      <c r="Y64" s="116">
        <f>Y60/Y61</f>
        <v>15.957943925233646</v>
      </c>
    </row>
    <row r="65" spans="1:25" ht="15" customHeight="1">
      <c r="N65" s="114" t="s">
        <v>80</v>
      </c>
      <c r="O65" s="115">
        <f t="shared" ref="O65:W65" si="66">O60/O62</f>
        <v>1.1818423608560216</v>
      </c>
      <c r="P65" s="115">
        <f t="shared" si="66"/>
        <v>1.3879119487577416</v>
      </c>
      <c r="Q65" s="115">
        <f t="shared" si="66"/>
        <v>1.829013104159658</v>
      </c>
      <c r="R65" s="115">
        <f t="shared" si="66"/>
        <v>1.2668573923857664</v>
      </c>
      <c r="S65" s="115">
        <f t="shared" si="66"/>
        <v>1.2430752408776318</v>
      </c>
      <c r="T65" s="115">
        <f t="shared" si="66"/>
        <v>1.0525690578566638</v>
      </c>
      <c r="U65" s="116">
        <f t="shared" si="66"/>
        <v>0.95201767344637322</v>
      </c>
      <c r="V65" s="116">
        <f t="shared" si="66"/>
        <v>1.8812923870005787</v>
      </c>
      <c r="W65" s="116">
        <f t="shared" si="66"/>
        <v>2.8337247251347009</v>
      </c>
      <c r="X65" s="116">
        <f t="shared" ref="X65:Y65" si="67">X60/X62</f>
        <v>1.7916584503724662</v>
      </c>
      <c r="Y65" s="116">
        <f t="shared" si="67"/>
        <v>1.508760128623329</v>
      </c>
    </row>
    <row r="66" spans="1:25" ht="15" customHeight="1">
      <c r="A66" s="6"/>
      <c r="N66" s="114" t="s">
        <v>81</v>
      </c>
      <c r="O66" s="115">
        <f t="shared" ref="O66:T66" si="68">B64/B14</f>
        <v>34.846815257894278</v>
      </c>
      <c r="P66" s="115">
        <f t="shared" si="68"/>
        <v>92.354803490756368</v>
      </c>
      <c r="Q66" s="115">
        <f t="shared" si="68"/>
        <v>42.172314364372816</v>
      </c>
      <c r="R66" s="115">
        <f t="shared" si="68"/>
        <v>31.584216727521973</v>
      </c>
      <c r="S66" s="115">
        <f t="shared" si="68"/>
        <v>15.568107697671611</v>
      </c>
      <c r="T66" s="115">
        <f t="shared" si="68"/>
        <v>22.254044424855671</v>
      </c>
      <c r="U66" s="116">
        <f>H64/600</f>
        <v>11.594663333333333</v>
      </c>
      <c r="V66" s="116">
        <f>I64/I14</f>
        <v>8.8373681533764685</v>
      </c>
      <c r="W66" s="116">
        <f>J64/J14</f>
        <v>12.172249386243292</v>
      </c>
      <c r="X66" s="116">
        <f>K64/K14</f>
        <v>10.887699730785618</v>
      </c>
      <c r="Y66" s="116" t="s">
        <v>195</v>
      </c>
    </row>
    <row r="67" spans="1:25" ht="15" customHeight="1">
      <c r="C67" s="59"/>
      <c r="D67" s="59"/>
      <c r="E67" s="59"/>
      <c r="F67" s="59"/>
      <c r="G67" s="59"/>
      <c r="H67" s="97"/>
      <c r="I67" s="97"/>
      <c r="J67" s="97"/>
      <c r="K67" s="97"/>
      <c r="L67" s="146"/>
      <c r="N67" s="114" t="s">
        <v>95</v>
      </c>
      <c r="O67" s="115"/>
      <c r="P67" s="115">
        <f t="shared" ref="P67:X67" si="69">C4/SUM(P17:P19)</f>
        <v>0.14740423502084327</v>
      </c>
      <c r="Q67" s="115">
        <f t="shared" si="69"/>
        <v>0.29577932932455109</v>
      </c>
      <c r="R67" s="115">
        <f t="shared" si="69"/>
        <v>0.42895220806139689</v>
      </c>
      <c r="S67" s="115">
        <f t="shared" si="69"/>
        <v>0.47798731523329346</v>
      </c>
      <c r="T67" s="115">
        <f t="shared" si="69"/>
        <v>0.48738866319070029</v>
      </c>
      <c r="U67" s="115">
        <f t="shared" si="69"/>
        <v>0.83484933217786073</v>
      </c>
      <c r="V67" s="115">
        <f t="shared" si="69"/>
        <v>1.2164513535721242</v>
      </c>
      <c r="W67" s="115">
        <f t="shared" si="69"/>
        <v>1.2753589332714215</v>
      </c>
      <c r="X67" s="115">
        <f t="shared" si="69"/>
        <v>1.1676251450066524</v>
      </c>
      <c r="Y67" s="116" t="s">
        <v>195</v>
      </c>
    </row>
    <row r="68" spans="1:25" ht="15" customHeight="1">
      <c r="C68" s="2"/>
      <c r="D68" s="2"/>
      <c r="E68" s="2"/>
      <c r="F68" s="2"/>
      <c r="G68" s="2"/>
      <c r="I68" s="59"/>
      <c r="N68" s="114" t="s">
        <v>82</v>
      </c>
      <c r="O68" s="117">
        <f>B27/O6</f>
        <v>9.7094354411853857E-3</v>
      </c>
      <c r="P68" s="117">
        <f t="shared" ref="P68:X68" si="70">C31/P6</f>
        <v>1.7338460969987424E-2</v>
      </c>
      <c r="Q68" s="117">
        <f t="shared" si="70"/>
        <v>1.737785600527129E-3</v>
      </c>
      <c r="R68" s="117">
        <f t="shared" si="70"/>
        <v>-0.44686183656276351</v>
      </c>
      <c r="S68" s="117">
        <f t="shared" si="70"/>
        <v>-1.5608128003769037</v>
      </c>
      <c r="T68" s="117">
        <f t="shared" si="70"/>
        <v>-3.857708396384868E-2</v>
      </c>
      <c r="U68" s="117">
        <f t="shared" si="70"/>
        <v>3.0251320604844867E-2</v>
      </c>
      <c r="V68" s="117">
        <f t="shared" si="70"/>
        <v>0.11110287920527158</v>
      </c>
      <c r="W68" s="117">
        <f t="shared" si="70"/>
        <v>0.14579695046764773</v>
      </c>
      <c r="X68" s="117">
        <f t="shared" si="70"/>
        <v>9.834694811268882E-2</v>
      </c>
      <c r="Y68" s="116" t="s">
        <v>195</v>
      </c>
    </row>
    <row r="69" spans="1:25" ht="15" customHeight="1">
      <c r="N69" s="114" t="s">
        <v>83</v>
      </c>
      <c r="O69" s="117">
        <f t="shared" ref="O69:X69" si="71">(B22+B20)/O13</f>
        <v>1.7373548680578808E-2</v>
      </c>
      <c r="P69" s="117">
        <f t="shared" si="71"/>
        <v>1.0501544135514814E-2</v>
      </c>
      <c r="Q69" s="117">
        <f t="shared" si="71"/>
        <v>4.3511221430899111E-2</v>
      </c>
      <c r="R69" s="117">
        <f t="shared" si="71"/>
        <v>-3.0933070884018076E-3</v>
      </c>
      <c r="S69" s="117">
        <f t="shared" si="71"/>
        <v>2.3153642858825926E-2</v>
      </c>
      <c r="T69" s="117">
        <f t="shared" si="71"/>
        <v>1.7208226133145692E-2</v>
      </c>
      <c r="U69" s="117">
        <f t="shared" si="71"/>
        <v>6.2228791437716369E-2</v>
      </c>
      <c r="V69" s="117">
        <f t="shared" si="71"/>
        <v>0.16752738394908301</v>
      </c>
      <c r="W69" s="117">
        <f t="shared" si="71"/>
        <v>0.1858342372443772</v>
      </c>
      <c r="X69" s="117">
        <f t="shared" si="71"/>
        <v>0.13530759622383023</v>
      </c>
      <c r="Y69" s="116" t="s">
        <v>195</v>
      </c>
    </row>
    <row r="70" spans="1:25" ht="15" customHeight="1">
      <c r="N70" s="114" t="s">
        <v>84</v>
      </c>
      <c r="O70" s="115">
        <f t="shared" ref="O70:Y70" si="72">O10/O6</f>
        <v>1.4117311035202855</v>
      </c>
      <c r="P70" s="115">
        <f t="shared" si="72"/>
        <v>2.6299716615646105</v>
      </c>
      <c r="Q70" s="115">
        <f t="shared" si="72"/>
        <v>3.3857011650840478</v>
      </c>
      <c r="R70" s="115">
        <f t="shared" si="72"/>
        <v>4.6942762867573311</v>
      </c>
      <c r="S70" s="115">
        <f t="shared" si="72"/>
        <v>10.392524919920827</v>
      </c>
      <c r="T70" s="115">
        <f t="shared" si="72"/>
        <v>0.61895638821499865</v>
      </c>
      <c r="U70" s="115">
        <f t="shared" si="72"/>
        <v>0.59519479378064355</v>
      </c>
      <c r="V70" s="115">
        <f t="shared" si="72"/>
        <v>0.32436622904069989</v>
      </c>
      <c r="W70" s="115">
        <f t="shared" si="72"/>
        <v>0.20010444972157837</v>
      </c>
      <c r="X70" s="115">
        <f t="shared" si="72"/>
        <v>0.1778907025334758</v>
      </c>
      <c r="Y70" s="115">
        <f t="shared" si="72"/>
        <v>0.13091362167121948</v>
      </c>
    </row>
    <row r="71" spans="1:25" ht="15" customHeight="1">
      <c r="N71" s="114" t="s">
        <v>85</v>
      </c>
      <c r="O71" s="115">
        <f t="shared" ref="O71:Y71" si="73">(O10-O32-O33)/O6</f>
        <v>0.8920529648087141</v>
      </c>
      <c r="P71" s="115">
        <f t="shared" si="73"/>
        <v>2.612754001347283</v>
      </c>
      <c r="Q71" s="115">
        <f t="shared" si="73"/>
        <v>3.206354014145155</v>
      </c>
      <c r="R71" s="115">
        <f t="shared" si="73"/>
        <v>4.6497823645043512</v>
      </c>
      <c r="S71" s="115">
        <f t="shared" si="73"/>
        <v>10.304321330632872</v>
      </c>
      <c r="T71" s="115">
        <f t="shared" si="73"/>
        <v>0.60666067806339685</v>
      </c>
      <c r="U71" s="115">
        <f t="shared" si="73"/>
        <v>0.58809902637977507</v>
      </c>
      <c r="V71" s="115">
        <f t="shared" si="73"/>
        <v>0.30878346931747519</v>
      </c>
      <c r="W71" s="115">
        <f t="shared" si="73"/>
        <v>0.18751660874665782</v>
      </c>
      <c r="X71" s="115">
        <f t="shared" si="73"/>
        <v>0.16519101193765212</v>
      </c>
      <c r="Y71" s="115">
        <f t="shared" si="73"/>
        <v>0.12273700384017344</v>
      </c>
    </row>
    <row r="72" spans="1:25" ht="15" customHeight="1">
      <c r="N72" s="114" t="s">
        <v>86</v>
      </c>
      <c r="O72" s="118">
        <f t="shared" ref="O72:W72" si="74">O63/O60</f>
        <v>5.4628224582701059E-3</v>
      </c>
      <c r="P72" s="118">
        <f t="shared" si="74"/>
        <v>3.4522439585730723E-2</v>
      </c>
      <c r="Q72" s="118">
        <f t="shared" si="74"/>
        <v>2.5728987993138937E-2</v>
      </c>
      <c r="R72" s="118">
        <f t="shared" si="74"/>
        <v>5.3380782918149461E-2</v>
      </c>
      <c r="S72" s="118">
        <f t="shared" si="74"/>
        <v>0.13888888888888887</v>
      </c>
      <c r="T72" s="118">
        <f t="shared" si="74"/>
        <v>2.7322404371584699E-2</v>
      </c>
      <c r="U72" s="118">
        <f t="shared" si="74"/>
        <v>2.9411764705882353E-2</v>
      </c>
      <c r="V72" s="118">
        <f t="shared" si="74"/>
        <v>0</v>
      </c>
      <c r="W72" s="118">
        <f t="shared" si="74"/>
        <v>0</v>
      </c>
      <c r="X72" s="118">
        <f t="shared" ref="X72" si="75">X63/X60</f>
        <v>0</v>
      </c>
      <c r="Y72" s="118"/>
    </row>
    <row r="73" spans="1:25" ht="15" customHeight="1">
      <c r="E73" s="58"/>
      <c r="N73" s="114" t="s">
        <v>87</v>
      </c>
      <c r="O73" s="115"/>
      <c r="P73" s="115">
        <f t="shared" ref="P73:X73" si="76">AVERAGE(O31:P31)/C4*365</f>
        <v>86.825124975553592</v>
      </c>
      <c r="Q73" s="115">
        <f t="shared" si="76"/>
        <v>43.645370501054366</v>
      </c>
      <c r="R73" s="115">
        <f t="shared" si="76"/>
        <v>45.046645636530769</v>
      </c>
      <c r="S73" s="115">
        <f t="shared" si="76"/>
        <v>46.423029031716084</v>
      </c>
      <c r="T73" s="115">
        <f t="shared" si="76"/>
        <v>47.900735965707156</v>
      </c>
      <c r="U73" s="115">
        <f t="shared" si="76"/>
        <v>33.850881710533045</v>
      </c>
      <c r="V73" s="115">
        <f t="shared" si="76"/>
        <v>27.12929483952945</v>
      </c>
      <c r="W73" s="115">
        <f t="shared" si="76"/>
        <v>37.22166464335492</v>
      </c>
      <c r="X73" s="115">
        <f t="shared" si="76"/>
        <v>48.878486466202567</v>
      </c>
      <c r="Y73" s="116" t="s">
        <v>195</v>
      </c>
    </row>
    <row r="74" spans="1:25" ht="15" customHeight="1">
      <c r="E74" s="58"/>
      <c r="N74" s="114" t="s">
        <v>88</v>
      </c>
      <c r="O74" s="115"/>
      <c r="P74" s="115">
        <f t="shared" ref="P74:X74" si="77">AVERAGE(O41:P41)/(SUM(C8:C13))*365</f>
        <v>88.300073255788902</v>
      </c>
      <c r="Q74" s="115">
        <f t="shared" si="77"/>
        <v>68.991190001299643</v>
      </c>
      <c r="R74" s="115">
        <f t="shared" si="77"/>
        <v>56.893703206785339</v>
      </c>
      <c r="S74" s="115">
        <f t="shared" si="77"/>
        <v>33.963594805072177</v>
      </c>
      <c r="T74" s="115">
        <f t="shared" si="77"/>
        <v>18.253118084892371</v>
      </c>
      <c r="U74" s="115">
        <f t="shared" si="77"/>
        <v>22.128740315638449</v>
      </c>
      <c r="V74" s="115">
        <f t="shared" si="77"/>
        <v>19.905624212794773</v>
      </c>
      <c r="W74" s="115">
        <f t="shared" si="77"/>
        <v>9.4501445762184666</v>
      </c>
      <c r="X74" s="115">
        <f t="shared" si="77"/>
        <v>8.4131678821023925</v>
      </c>
      <c r="Y74" s="116" t="s">
        <v>195</v>
      </c>
    </row>
    <row r="75" spans="1:25" ht="15" customHeight="1">
      <c r="E75" s="58"/>
      <c r="N75" s="114" t="s">
        <v>89</v>
      </c>
      <c r="O75" s="115"/>
      <c r="P75" s="115">
        <f t="shared" ref="P75:X75" si="78">AVERAGE(O29:P29)/(SUM(C8:C13))*365</f>
        <v>219.44921573214236</v>
      </c>
      <c r="Q75" s="115">
        <f t="shared" si="78"/>
        <v>141.78396920396042</v>
      </c>
      <c r="R75" s="115">
        <f t="shared" si="78"/>
        <v>133.45880755413347</v>
      </c>
      <c r="S75" s="115">
        <f t="shared" si="78"/>
        <v>132.8478462155874</v>
      </c>
      <c r="T75" s="115">
        <f t="shared" si="78"/>
        <v>119.33514383423855</v>
      </c>
      <c r="U75" s="115">
        <f t="shared" si="78"/>
        <v>76.022587517933999</v>
      </c>
      <c r="V75" s="115">
        <f t="shared" si="78"/>
        <v>77.223416255800416</v>
      </c>
      <c r="W75" s="115">
        <f t="shared" si="78"/>
        <v>83.17456251441611</v>
      </c>
      <c r="X75" s="115">
        <f t="shared" si="78"/>
        <v>83.138580722936098</v>
      </c>
      <c r="Y75" s="115" t="s">
        <v>195</v>
      </c>
    </row>
    <row r="76" spans="1:25" ht="15" customHeight="1">
      <c r="N76" s="114" t="s">
        <v>90</v>
      </c>
      <c r="O76" s="115"/>
      <c r="P76" s="115">
        <f>P73+P75-P74</f>
        <v>217.97426745190705</v>
      </c>
      <c r="Q76" s="115">
        <f t="shared" ref="Q76:S76" si="79">Q73+Q75-Q74</f>
        <v>116.43814970371515</v>
      </c>
      <c r="R76" s="115">
        <f t="shared" si="79"/>
        <v>121.61174998387889</v>
      </c>
      <c r="S76" s="115">
        <f t="shared" si="79"/>
        <v>145.3072804422313</v>
      </c>
      <c r="T76" s="115">
        <f t="shared" ref="T76:V76" si="80">T73+T75-T74</f>
        <v>148.98276171505333</v>
      </c>
      <c r="U76" s="115">
        <f t="shared" si="80"/>
        <v>87.744728912828592</v>
      </c>
      <c r="V76" s="115">
        <f t="shared" si="80"/>
        <v>84.447086882535089</v>
      </c>
      <c r="W76" s="115">
        <f t="shared" ref="W76:X76" si="81">W73+W75-W74</f>
        <v>110.94608258155256</v>
      </c>
      <c r="X76" s="115">
        <f t="shared" si="81"/>
        <v>123.60389930703627</v>
      </c>
      <c r="Y76" s="115" t="s">
        <v>195</v>
      </c>
    </row>
    <row r="77" spans="1:25" ht="15" customHeight="1">
      <c r="E77" s="58"/>
      <c r="N77" s="114" t="s">
        <v>91</v>
      </c>
      <c r="O77" s="115"/>
      <c r="P77" s="115">
        <f t="shared" ref="P77:X77" si="82">AVERAGE(O47:P47)/C4*365</f>
        <v>298.09060006556558</v>
      </c>
      <c r="Q77" s="115">
        <f t="shared" si="82"/>
        <v>107.44443928325347</v>
      </c>
      <c r="R77" s="115">
        <f t="shared" si="82"/>
        <v>27.215038680379045</v>
      </c>
      <c r="S77" s="115">
        <f t="shared" si="82"/>
        <v>-122.78093663264069</v>
      </c>
      <c r="T77" s="115">
        <f t="shared" si="82"/>
        <v>-12.408993595275605</v>
      </c>
      <c r="U77" s="115">
        <f t="shared" si="82"/>
        <v>133.06174591347505</v>
      </c>
      <c r="V77" s="115">
        <f t="shared" si="82"/>
        <v>126.85598733245682</v>
      </c>
      <c r="W77" s="115">
        <f t="shared" si="82"/>
        <v>163.65393859113499</v>
      </c>
      <c r="X77" s="115">
        <f t="shared" si="82"/>
        <v>204.43396361987627</v>
      </c>
      <c r="Y77" s="115" t="s">
        <v>195</v>
      </c>
    </row>
    <row r="78" spans="1:25" ht="15" customHeight="1">
      <c r="E78" s="58"/>
      <c r="N78" s="114" t="s">
        <v>92</v>
      </c>
      <c r="O78" s="117">
        <f t="shared" ref="O78:X78" si="83">B20/O10</f>
        <v>1.906102147040354E-2</v>
      </c>
      <c r="P78" s="117">
        <f t="shared" si="83"/>
        <v>6.8682357874532305E-3</v>
      </c>
      <c r="Q78" s="117">
        <f t="shared" si="83"/>
        <v>5.1913236831326669E-2</v>
      </c>
      <c r="R78" s="117">
        <f t="shared" si="83"/>
        <v>0.15517173232570655</v>
      </c>
      <c r="S78" s="117">
        <f t="shared" si="83"/>
        <v>0.22043278191568916</v>
      </c>
      <c r="T78" s="117">
        <f t="shared" si="83"/>
        <v>0.12649650077038743</v>
      </c>
      <c r="U78" s="117">
        <f t="shared" si="83"/>
        <v>8.7000331035919268E-2</v>
      </c>
      <c r="V78" s="117">
        <f t="shared" si="83"/>
        <v>0.12217732991880309</v>
      </c>
      <c r="W78" s="117">
        <f t="shared" si="83"/>
        <v>0.11182401951775831</v>
      </c>
      <c r="X78" s="117">
        <f t="shared" si="83"/>
        <v>0.1017238773962033</v>
      </c>
      <c r="Y78" s="116" t="s">
        <v>195</v>
      </c>
    </row>
    <row r="79" spans="1:25" ht="15" customHeight="1">
      <c r="E79" s="58"/>
      <c r="N79" s="114" t="s">
        <v>93</v>
      </c>
      <c r="O79" s="115">
        <f t="shared" ref="O79:X79" si="84">(B22+B20)/B20</f>
        <v>1.595876139563982</v>
      </c>
      <c r="P79" s="115">
        <f t="shared" si="84"/>
        <v>2.1488985051140848</v>
      </c>
      <c r="Q79" s="115">
        <f t="shared" si="84"/>
        <v>1.0121146905016225</v>
      </c>
      <c r="R79" s="115">
        <f t="shared" si="84"/>
        <v>-1.969868868168775E-2</v>
      </c>
      <c r="S79" s="115">
        <f t="shared" si="84"/>
        <v>8.3467550394268286E-2</v>
      </c>
      <c r="T79" s="115">
        <f t="shared" si="84"/>
        <v>0.33074268003475088</v>
      </c>
      <c r="U79" s="115">
        <f t="shared" si="84"/>
        <v>1.7664672962723862</v>
      </c>
      <c r="V79" s="115">
        <f t="shared" si="84"/>
        <v>5.3529273973034703</v>
      </c>
      <c r="W79" s="115">
        <f t="shared" si="84"/>
        <v>9.7165957677038843</v>
      </c>
      <c r="X79" s="115">
        <f t="shared" si="84"/>
        <v>8.3391877799368288</v>
      </c>
      <c r="Y79" s="115">
        <f>(L22+L20)/L20</f>
        <v>8.6665858793946953</v>
      </c>
    </row>
    <row r="80" spans="1:25" ht="15" customHeight="1">
      <c r="E80" s="58"/>
      <c r="N80" s="114" t="s">
        <v>189</v>
      </c>
      <c r="O80" s="99"/>
      <c r="P80" s="99"/>
      <c r="Q80" s="99"/>
      <c r="R80" s="99"/>
      <c r="S80" s="115">
        <f>SUM(S29,S31:S35)/SUM(S41:S44,S9)</f>
        <v>0.35828711895679405</v>
      </c>
      <c r="T80" s="115">
        <f t="shared" ref="T80:Y80" si="85">SUM(T29,T31:T35)/SUM(T41:T44,T9)</f>
        <v>1.833634790728931</v>
      </c>
      <c r="U80" s="115">
        <f t="shared" si="85"/>
        <v>1.9624275245501202</v>
      </c>
      <c r="V80" s="115">
        <f t="shared" si="85"/>
        <v>3.8170128021175893</v>
      </c>
      <c r="W80" s="115">
        <f t="shared" si="85"/>
        <v>7.5530618729856105</v>
      </c>
      <c r="X80" s="115">
        <f t="shared" si="85"/>
        <v>4.5687653906116585</v>
      </c>
      <c r="Y80" s="115">
        <f t="shared" si="85"/>
        <v>5.8123274163084506</v>
      </c>
    </row>
    <row r="81" spans="5:24" ht="15" customHeight="1">
      <c r="E81" s="58"/>
      <c r="N81" s="1" t="s">
        <v>172</v>
      </c>
    </row>
    <row r="82" spans="5:24" ht="15" customHeight="1">
      <c r="N82" t="s">
        <v>31</v>
      </c>
      <c r="O82" s="3">
        <f t="shared" ref="O82:T82" si="86">O56-O57</f>
        <v>-2.0000000004074536E-3</v>
      </c>
      <c r="P82" s="3">
        <f t="shared" si="86"/>
        <v>-2.0000000013169483E-3</v>
      </c>
      <c r="Q82" s="3">
        <f t="shared" si="86"/>
        <v>3.9999999999054126E-3</v>
      </c>
      <c r="R82" s="3">
        <f t="shared" si="86"/>
        <v>-4.5000000000982254E-2</v>
      </c>
      <c r="S82" s="3">
        <f t="shared" si="86"/>
        <v>-5.0000000001091394E-3</v>
      </c>
      <c r="T82" s="2">
        <f t="shared" si="86"/>
        <v>-2.0000000004074536E-3</v>
      </c>
      <c r="U82" s="2">
        <f t="shared" ref="U82:X82" si="87">U56-U57</f>
        <v>0</v>
      </c>
      <c r="V82" s="2">
        <f t="shared" si="87"/>
        <v>9.9999999929423211E-4</v>
      </c>
      <c r="W82" s="2">
        <f t="shared" si="87"/>
        <v>0</v>
      </c>
      <c r="X82" s="2">
        <f t="shared" si="87"/>
        <v>-1.0000000002037268E-3</v>
      </c>
    </row>
    <row r="83" spans="5:24" ht="15" customHeight="1">
      <c r="N83" t="s">
        <v>32</v>
      </c>
      <c r="O83" s="3">
        <f t="shared" ref="O83:T83" si="88">O12-O13</f>
        <v>-2.0000000004074536E-3</v>
      </c>
      <c r="P83" s="3">
        <f t="shared" si="88"/>
        <v>-2.0000000004074536E-3</v>
      </c>
      <c r="Q83" s="3">
        <f t="shared" si="88"/>
        <v>3.9999999999054126E-3</v>
      </c>
      <c r="R83" s="3">
        <f t="shared" si="88"/>
        <v>-4.500000000007276E-2</v>
      </c>
      <c r="S83" s="3">
        <f t="shared" si="88"/>
        <v>-5.0000000005638867E-3</v>
      </c>
      <c r="T83" s="2">
        <f t="shared" si="88"/>
        <v>-2.0000000004074536E-3</v>
      </c>
      <c r="U83" s="2">
        <f t="shared" ref="U83:X83" si="89">U12-U13</f>
        <v>0</v>
      </c>
      <c r="V83" s="2">
        <f t="shared" si="89"/>
        <v>9.9999999929423211E-4</v>
      </c>
      <c r="W83" s="2">
        <f t="shared" si="89"/>
        <v>0</v>
      </c>
      <c r="X83" s="2">
        <f t="shared" si="89"/>
        <v>-1.0000000002037268E-3</v>
      </c>
    </row>
    <row r="85" spans="5:24" ht="15" customHeight="1">
      <c r="P85" s="98"/>
      <c r="Q85" s="98"/>
      <c r="R85" s="98"/>
      <c r="S85" s="98"/>
      <c r="T85" s="98"/>
      <c r="U85" s="98"/>
    </row>
  </sheetData>
  <mergeCells count="3">
    <mergeCell ref="A2:L2"/>
    <mergeCell ref="N2:Y2"/>
    <mergeCell ref="A1:Y1"/>
  </mergeCells>
  <phoneticPr fontId="13" type="noConversion"/>
  <printOptions horizontalCentered="1" verticalCentered="1"/>
  <pageMargins left="0" right="0" top="0.196850393700787" bottom="0" header="0" footer="0"/>
  <pageSetup paperSize="4" scale="37" orientation="landscape" horizontalDpi="1200" verticalDpi="1200" r:id="rId1"/>
  <ignoredErrors>
    <ignoredError sqref="B50 D50:G50 Q73:S73 P76:W76 P73 T73:U73 R67:W67 P74:U74 P75:U75 W75 V73:W74 V75 J50 X73:X79 S80:X80" formulaRange="1"/>
    <ignoredError sqref="C27 U66 I2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0"/>
  <sheetViews>
    <sheetView workbookViewId="0">
      <selection activeCell="G55" sqref="G55"/>
    </sheetView>
  </sheetViews>
  <sheetFormatPr defaultColWidth="8.81640625" defaultRowHeight="13"/>
  <cols>
    <col min="1" max="1" width="32.1796875" style="61" bestFit="1" customWidth="1"/>
    <col min="2" max="2" width="12.1796875" style="61" bestFit="1" customWidth="1"/>
    <col min="3" max="3" width="10.1796875" style="61" bestFit="1" customWidth="1"/>
    <col min="4" max="4" width="15.81640625" style="61" bestFit="1" customWidth="1"/>
    <col min="5" max="5" width="16.7265625" style="61" bestFit="1" customWidth="1"/>
    <col min="6" max="7" width="17.26953125" style="61" bestFit="1" customWidth="1"/>
    <col min="8" max="9" width="19.1796875" style="61" bestFit="1" customWidth="1"/>
    <col min="10" max="11" width="16.453125" style="61" bestFit="1" customWidth="1"/>
    <col min="12" max="16384" width="8.81640625" style="61"/>
  </cols>
  <sheetData>
    <row r="1" spans="1:12" ht="15" thickBot="1">
      <c r="A1" s="60" t="s">
        <v>151</v>
      </c>
      <c r="B1" s="157" t="s">
        <v>164</v>
      </c>
      <c r="C1" s="158"/>
      <c r="D1" s="157" t="s">
        <v>165</v>
      </c>
      <c r="E1" s="158"/>
      <c r="F1" s="157" t="s">
        <v>166</v>
      </c>
      <c r="G1" s="158"/>
      <c r="H1" s="157" t="s">
        <v>167</v>
      </c>
      <c r="I1" s="158"/>
      <c r="J1" s="157" t="s">
        <v>168</v>
      </c>
      <c r="K1" s="158"/>
    </row>
    <row r="2" spans="1:12" ht="14.5">
      <c r="A2" s="62" t="s">
        <v>102</v>
      </c>
      <c r="B2" s="63" t="s">
        <v>51</v>
      </c>
      <c r="C2" s="63" t="s">
        <v>152</v>
      </c>
      <c r="D2" s="63" t="s">
        <v>51</v>
      </c>
      <c r="E2" s="63" t="s">
        <v>152</v>
      </c>
      <c r="F2" s="63" t="s">
        <v>51</v>
      </c>
      <c r="G2" s="63" t="s">
        <v>152</v>
      </c>
      <c r="H2" s="63" t="s">
        <v>51</v>
      </c>
      <c r="I2" s="63" t="s">
        <v>152</v>
      </c>
      <c r="J2" s="63" t="s">
        <v>51</v>
      </c>
      <c r="K2" s="63" t="s">
        <v>152</v>
      </c>
    </row>
    <row r="3" spans="1:12" ht="14.5">
      <c r="A3" s="64" t="s">
        <v>153</v>
      </c>
      <c r="B3" s="91">
        <v>250.17</v>
      </c>
      <c r="C3" s="91"/>
      <c r="D3" s="77">
        <v>20972.799999999999</v>
      </c>
      <c r="E3" s="77">
        <v>26880.7</v>
      </c>
      <c r="F3" s="91"/>
      <c r="G3" s="91"/>
      <c r="H3" s="91"/>
      <c r="I3" s="91"/>
      <c r="J3" s="70"/>
      <c r="K3" s="70"/>
      <c r="L3" s="61">
        <v>10</v>
      </c>
    </row>
    <row r="4" spans="1:12" ht="14.5">
      <c r="A4" s="65" t="s">
        <v>135</v>
      </c>
      <c r="B4" s="66">
        <v>0.14199999999999999</v>
      </c>
      <c r="C4" s="66"/>
      <c r="D4" s="66"/>
      <c r="E4" s="66"/>
      <c r="F4" s="66"/>
      <c r="G4" s="66"/>
      <c r="H4" s="66"/>
      <c r="I4" s="66"/>
      <c r="J4" s="66"/>
      <c r="K4" s="66"/>
    </row>
    <row r="5" spans="1:12" ht="14.5">
      <c r="A5" s="64" t="s">
        <v>42</v>
      </c>
      <c r="B5" s="67">
        <v>32.44</v>
      </c>
      <c r="C5" s="67"/>
      <c r="D5" s="77">
        <v>2836.2</v>
      </c>
      <c r="E5" s="77">
        <v>3836.7</v>
      </c>
      <c r="F5" s="67"/>
      <c r="G5" s="67"/>
      <c r="H5" s="67"/>
      <c r="I5" s="67"/>
      <c r="J5" s="70"/>
      <c r="K5" s="70"/>
    </row>
    <row r="6" spans="1:12" ht="14.5">
      <c r="A6" s="65" t="s">
        <v>135</v>
      </c>
      <c r="B6" s="66">
        <v>0.23799999999999999</v>
      </c>
      <c r="C6" s="68"/>
      <c r="D6" s="68"/>
      <c r="E6" s="68"/>
      <c r="F6" s="68"/>
      <c r="G6" s="68"/>
      <c r="H6" s="68"/>
      <c r="I6" s="68"/>
      <c r="J6" s="68"/>
      <c r="K6" s="68"/>
    </row>
    <row r="7" spans="1:12" ht="14.5">
      <c r="A7" s="64" t="s">
        <v>137</v>
      </c>
      <c r="B7" s="69">
        <f>B5/B3</f>
        <v>0.12967182316025103</v>
      </c>
      <c r="C7" s="69" t="e">
        <f t="shared" ref="C7:K7" si="0">C5/C3</f>
        <v>#DIV/0!</v>
      </c>
      <c r="D7" s="69">
        <f t="shared" si="0"/>
        <v>0.13523230088495575</v>
      </c>
      <c r="E7" s="69">
        <f t="shared" si="0"/>
        <v>0.14273065805577978</v>
      </c>
      <c r="F7" s="69" t="e">
        <f t="shared" si="0"/>
        <v>#DIV/0!</v>
      </c>
      <c r="G7" s="69" t="e">
        <f t="shared" si="0"/>
        <v>#DIV/0!</v>
      </c>
      <c r="H7" s="69" t="e">
        <f t="shared" si="0"/>
        <v>#DIV/0!</v>
      </c>
      <c r="I7" s="69" t="e">
        <f t="shared" si="0"/>
        <v>#DIV/0!</v>
      </c>
      <c r="J7" s="69" t="e">
        <f t="shared" si="0"/>
        <v>#DIV/0!</v>
      </c>
      <c r="K7" s="69" t="e">
        <f t="shared" si="0"/>
        <v>#DIV/0!</v>
      </c>
    </row>
    <row r="8" spans="1:12" ht="14.5">
      <c r="A8" s="64" t="s">
        <v>136</v>
      </c>
      <c r="B8" s="67">
        <v>-16.79</v>
      </c>
      <c r="C8" s="67"/>
      <c r="D8" s="77">
        <v>1515</v>
      </c>
      <c r="E8" s="77">
        <v>2914.3</v>
      </c>
      <c r="F8" s="67"/>
      <c r="G8" s="67"/>
      <c r="H8" s="67"/>
      <c r="I8" s="67"/>
      <c r="J8" s="70"/>
      <c r="K8" s="70"/>
    </row>
    <row r="9" spans="1:12" ht="14.5">
      <c r="A9" s="65" t="s">
        <v>135</v>
      </c>
      <c r="B9" s="66">
        <v>-5.07</v>
      </c>
      <c r="C9" s="66"/>
      <c r="D9" s="66"/>
      <c r="E9" s="66"/>
      <c r="F9" s="66"/>
      <c r="G9" s="66"/>
      <c r="H9" s="66"/>
      <c r="I9" s="66"/>
      <c r="J9" s="66"/>
      <c r="K9" s="66"/>
    </row>
    <row r="10" spans="1:12" ht="14.5">
      <c r="A10" s="64" t="s">
        <v>134</v>
      </c>
      <c r="B10" s="69">
        <f>B8/B3</f>
        <v>-6.7114362233681099E-2</v>
      </c>
      <c r="C10" s="69" t="e">
        <f t="shared" ref="C10:K10" si="1">C8/C3</f>
        <v>#DIV/0!</v>
      </c>
      <c r="D10" s="69">
        <f t="shared" si="1"/>
        <v>7.2236420506560886E-2</v>
      </c>
      <c r="E10" s="69">
        <f t="shared" si="1"/>
        <v>0.10841607547422501</v>
      </c>
      <c r="F10" s="69" t="e">
        <f t="shared" si="1"/>
        <v>#DIV/0!</v>
      </c>
      <c r="G10" s="69" t="e">
        <f t="shared" si="1"/>
        <v>#DIV/0!</v>
      </c>
      <c r="H10" s="69" t="e">
        <f t="shared" si="1"/>
        <v>#DIV/0!</v>
      </c>
      <c r="I10" s="69" t="e">
        <f t="shared" si="1"/>
        <v>#DIV/0!</v>
      </c>
      <c r="J10" s="69" t="e">
        <f t="shared" si="1"/>
        <v>#DIV/0!</v>
      </c>
      <c r="K10" s="69" t="e">
        <f t="shared" si="1"/>
        <v>#DIV/0!</v>
      </c>
    </row>
    <row r="11" spans="1:12" ht="14.5">
      <c r="A11" s="65" t="s">
        <v>50</v>
      </c>
      <c r="B11" s="70">
        <v>-3.73</v>
      </c>
      <c r="C11" s="70"/>
      <c r="D11" s="70">
        <v>4.91</v>
      </c>
      <c r="E11" s="70">
        <v>9.56</v>
      </c>
      <c r="F11" s="70"/>
      <c r="G11" s="70"/>
      <c r="H11" s="70"/>
      <c r="I11" s="70"/>
      <c r="J11" s="70"/>
      <c r="K11" s="70"/>
    </row>
    <row r="12" spans="1:12" ht="14.5">
      <c r="A12" s="65"/>
      <c r="B12" s="70"/>
      <c r="C12" s="70"/>
      <c r="D12" s="70"/>
      <c r="E12" s="70"/>
      <c r="F12" s="70"/>
      <c r="G12" s="70"/>
      <c r="H12" s="70"/>
      <c r="I12" s="70"/>
      <c r="J12" s="70"/>
      <c r="K12" s="70"/>
    </row>
    <row r="13" spans="1:12" ht="15" thickBot="1">
      <c r="A13" s="71"/>
      <c r="B13" s="72"/>
      <c r="C13" s="72"/>
      <c r="D13" s="72"/>
      <c r="E13" s="72"/>
      <c r="F13" s="72"/>
      <c r="G13" s="72"/>
      <c r="H13" s="72"/>
      <c r="I13" s="72"/>
      <c r="J13" s="70"/>
      <c r="K13" s="70"/>
    </row>
    <row r="14" spans="1:12" ht="15" thickBot="1">
      <c r="A14" s="73" t="s">
        <v>133</v>
      </c>
      <c r="B14" s="74"/>
      <c r="C14" s="74"/>
      <c r="D14" s="74"/>
      <c r="E14" s="74"/>
      <c r="F14" s="74"/>
      <c r="G14" s="74"/>
      <c r="H14" s="74"/>
      <c r="I14" s="74"/>
      <c r="J14" s="89"/>
      <c r="K14" s="90"/>
    </row>
    <row r="15" spans="1:12" ht="14.5">
      <c r="A15" s="75" t="s">
        <v>132</v>
      </c>
      <c r="B15" s="67">
        <v>4351.6000000000004</v>
      </c>
      <c r="C15" s="67"/>
      <c r="D15" s="70">
        <v>14035</v>
      </c>
      <c r="E15" s="70">
        <v>16936.7</v>
      </c>
      <c r="F15" s="67"/>
      <c r="G15" s="67"/>
      <c r="H15" s="67"/>
      <c r="I15" s="67"/>
      <c r="J15" s="70"/>
      <c r="K15" s="70"/>
    </row>
    <row r="16" spans="1:12" ht="14.5">
      <c r="A16" s="64" t="s">
        <v>71</v>
      </c>
      <c r="B16" s="67">
        <f>SUM(B17:B18)</f>
        <v>2693.45</v>
      </c>
      <c r="C16" s="67">
        <f t="shared" ref="C16:K16" si="2">SUM(C17:C18)</f>
        <v>0</v>
      </c>
      <c r="D16" s="67">
        <f t="shared" si="2"/>
        <v>4866.1000000000004</v>
      </c>
      <c r="E16" s="67">
        <f t="shared" si="2"/>
        <v>3664.6000000000004</v>
      </c>
      <c r="F16" s="67">
        <f t="shared" si="2"/>
        <v>0</v>
      </c>
      <c r="G16" s="67">
        <f t="shared" si="2"/>
        <v>0</v>
      </c>
      <c r="H16" s="67">
        <f t="shared" si="2"/>
        <v>0</v>
      </c>
      <c r="I16" s="67">
        <f t="shared" si="2"/>
        <v>0</v>
      </c>
      <c r="J16" s="67">
        <f t="shared" si="2"/>
        <v>0</v>
      </c>
      <c r="K16" s="67">
        <f t="shared" si="2"/>
        <v>0</v>
      </c>
    </row>
    <row r="17" spans="1:11" ht="14.5">
      <c r="A17" s="78" t="s">
        <v>131</v>
      </c>
      <c r="B17" s="79">
        <v>2143.4499999999998</v>
      </c>
      <c r="C17" s="79"/>
      <c r="D17" s="70">
        <v>2373.9</v>
      </c>
      <c r="E17" s="70">
        <v>1885.4</v>
      </c>
      <c r="F17" s="79"/>
      <c r="G17" s="79"/>
      <c r="H17" s="79"/>
      <c r="I17" s="79"/>
      <c r="J17" s="70"/>
      <c r="K17" s="70"/>
    </row>
    <row r="18" spans="1:11" ht="14.5">
      <c r="A18" s="78" t="s">
        <v>130</v>
      </c>
      <c r="B18" s="79">
        <v>550</v>
      </c>
      <c r="C18" s="79"/>
      <c r="D18" s="70">
        <v>2492.1999999999998</v>
      </c>
      <c r="E18" s="70">
        <v>1779.2</v>
      </c>
      <c r="F18" s="79"/>
      <c r="G18" s="79"/>
      <c r="H18" s="79"/>
      <c r="I18" s="79"/>
      <c r="J18" s="70"/>
      <c r="K18" s="70"/>
    </row>
    <row r="19" spans="1:11" ht="14.5">
      <c r="A19" s="65" t="s">
        <v>72</v>
      </c>
      <c r="B19" s="67">
        <v>53.51</v>
      </c>
      <c r="C19" s="67"/>
      <c r="D19" s="70">
        <f>(9946+1941)/10</f>
        <v>1188.7</v>
      </c>
      <c r="E19" s="70">
        <f>(15438+1030)/10</f>
        <v>1646.8</v>
      </c>
      <c r="F19" s="67"/>
      <c r="G19" s="67"/>
      <c r="H19" s="67"/>
      <c r="I19" s="67"/>
      <c r="J19" s="70"/>
      <c r="K19" s="70"/>
    </row>
    <row r="20" spans="1:11" ht="14.5">
      <c r="A20" s="71" t="s">
        <v>54</v>
      </c>
      <c r="B20" s="80">
        <v>34.07</v>
      </c>
      <c r="C20" s="80"/>
      <c r="D20" s="70">
        <v>569</v>
      </c>
      <c r="E20" s="70">
        <v>424.6</v>
      </c>
      <c r="F20" s="80"/>
      <c r="G20" s="80"/>
      <c r="H20" s="80"/>
      <c r="I20" s="80"/>
      <c r="J20" s="72"/>
      <c r="K20" s="72"/>
    </row>
    <row r="21" spans="1:11" ht="14.5">
      <c r="A21" s="92" t="s">
        <v>129</v>
      </c>
      <c r="B21" s="93"/>
      <c r="C21" s="93"/>
      <c r="D21" s="93"/>
      <c r="E21" s="93"/>
      <c r="F21" s="93"/>
      <c r="G21" s="93"/>
      <c r="H21" s="93"/>
      <c r="I21" s="93"/>
      <c r="J21" s="93"/>
      <c r="K21" s="94"/>
    </row>
    <row r="22" spans="1:11" ht="14.5">
      <c r="A22" s="81" t="s">
        <v>128</v>
      </c>
      <c r="B22" s="82">
        <v>-244.19</v>
      </c>
      <c r="C22" s="82"/>
      <c r="D22" s="70">
        <v>2137</v>
      </c>
      <c r="E22" s="70">
        <v>1585.7</v>
      </c>
      <c r="F22" s="82"/>
      <c r="G22" s="82"/>
      <c r="H22" s="82"/>
      <c r="I22" s="82"/>
      <c r="J22" s="86"/>
      <c r="K22" s="86"/>
    </row>
    <row r="23" spans="1:11" ht="14.5">
      <c r="A23" s="65" t="s">
        <v>154</v>
      </c>
      <c r="B23" s="83">
        <v>-1.35</v>
      </c>
      <c r="C23" s="83"/>
      <c r="D23" s="70">
        <v>-344.5</v>
      </c>
      <c r="E23" s="70">
        <v>557.4</v>
      </c>
      <c r="F23" s="83"/>
      <c r="G23" s="83"/>
      <c r="H23" s="83"/>
      <c r="I23" s="83"/>
      <c r="J23" s="70"/>
      <c r="K23" s="70"/>
    </row>
    <row r="24" spans="1:11" ht="14.5">
      <c r="A24" s="65" t="s">
        <v>69</v>
      </c>
      <c r="B24" s="83">
        <v>247.44</v>
      </c>
      <c r="C24" s="83"/>
      <c r="D24" s="70">
        <v>-1774.9</v>
      </c>
      <c r="E24" s="70">
        <v>-1605.9</v>
      </c>
      <c r="F24" s="83"/>
      <c r="G24" s="83"/>
      <c r="H24" s="83"/>
      <c r="I24" s="83"/>
      <c r="J24" s="70"/>
      <c r="K24" s="70"/>
    </row>
    <row r="25" spans="1:11" ht="14.5">
      <c r="A25" s="65" t="s">
        <v>109</v>
      </c>
      <c r="B25" s="67">
        <f>B28*B37</f>
        <v>4580.1239999999998</v>
      </c>
      <c r="C25" s="67">
        <f t="shared" ref="C25:K25" si="3">C28*C37</f>
        <v>0</v>
      </c>
      <c r="D25" s="67">
        <f t="shared" ref="D25:E25" si="4">D28*D37</f>
        <v>10086.960531000001</v>
      </c>
      <c r="E25" s="67">
        <f t="shared" si="4"/>
        <v>40987.800344999996</v>
      </c>
      <c r="F25" s="67">
        <f t="shared" si="3"/>
        <v>0</v>
      </c>
      <c r="G25" s="67">
        <f t="shared" si="3"/>
        <v>0</v>
      </c>
      <c r="H25" s="67">
        <f t="shared" si="3"/>
        <v>0</v>
      </c>
      <c r="I25" s="67">
        <f t="shared" si="3"/>
        <v>0</v>
      </c>
      <c r="J25" s="67">
        <f t="shared" si="3"/>
        <v>0</v>
      </c>
      <c r="K25" s="67">
        <f t="shared" si="3"/>
        <v>0</v>
      </c>
    </row>
    <row r="26" spans="1:11" ht="14.5">
      <c r="A26" s="65" t="s">
        <v>74</v>
      </c>
      <c r="B26" s="67">
        <f>B15+B16-B19</f>
        <v>6991.54</v>
      </c>
      <c r="C26" s="67">
        <f t="shared" ref="C26:K26" si="5">C15+C16-C19</f>
        <v>0</v>
      </c>
      <c r="D26" s="67">
        <f t="shared" ref="D26:E26" si="6">D15+D16-D19</f>
        <v>17712.399999999998</v>
      </c>
      <c r="E26" s="67">
        <f t="shared" si="6"/>
        <v>18954.500000000004</v>
      </c>
      <c r="F26" s="67">
        <f t="shared" si="5"/>
        <v>0</v>
      </c>
      <c r="G26" s="67">
        <f t="shared" si="5"/>
        <v>0</v>
      </c>
      <c r="H26" s="67">
        <f t="shared" si="5"/>
        <v>0</v>
      </c>
      <c r="I26" s="67">
        <f t="shared" si="5"/>
        <v>0</v>
      </c>
      <c r="J26" s="67">
        <f t="shared" si="5"/>
        <v>0</v>
      </c>
      <c r="K26" s="67">
        <f t="shared" si="5"/>
        <v>0</v>
      </c>
    </row>
    <row r="27" spans="1:11" ht="14.5">
      <c r="A27" s="65"/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1" ht="14.5">
      <c r="A28" s="65" t="s">
        <v>155</v>
      </c>
      <c r="B28" s="84">
        <v>62.57</v>
      </c>
      <c r="C28" s="84"/>
      <c r="D28" s="96">
        <f>304742010/1000000</f>
        <v>304.74200999999999</v>
      </c>
      <c r="E28" s="96">
        <f>304742010/1000000</f>
        <v>304.74200999999999</v>
      </c>
      <c r="F28" s="84"/>
      <c r="G28" s="84"/>
      <c r="H28" s="84"/>
      <c r="I28" s="84"/>
      <c r="J28" s="85"/>
      <c r="K28" s="85"/>
    </row>
    <row r="29" spans="1:11" ht="14.5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72"/>
    </row>
    <row r="30" spans="1:11" ht="14.5">
      <c r="A30" s="92" t="s">
        <v>156</v>
      </c>
      <c r="B30" s="93"/>
      <c r="C30" s="93"/>
      <c r="D30" s="93"/>
      <c r="E30" s="93"/>
      <c r="F30" s="93"/>
      <c r="G30" s="93"/>
      <c r="H30" s="93"/>
      <c r="I30" s="93"/>
      <c r="J30" s="93"/>
      <c r="K30" s="94"/>
    </row>
    <row r="31" spans="1:11" ht="14.5">
      <c r="A31" s="81" t="s">
        <v>157</v>
      </c>
      <c r="B31" s="76">
        <f>B37/B11</f>
        <v>-19.624664879356569</v>
      </c>
      <c r="C31" s="76" t="e">
        <f t="shared" ref="C31:K31" si="7">C37/C11</f>
        <v>#DIV/0!</v>
      </c>
      <c r="D31" s="76">
        <f t="shared" si="7"/>
        <v>6.741344195519348</v>
      </c>
      <c r="E31" s="76">
        <f t="shared" si="7"/>
        <v>14.069037656903765</v>
      </c>
      <c r="F31" s="76" t="e">
        <f t="shared" si="7"/>
        <v>#DIV/0!</v>
      </c>
      <c r="G31" s="76" t="e">
        <f t="shared" si="7"/>
        <v>#DIV/0!</v>
      </c>
      <c r="H31" s="76" t="e">
        <f t="shared" si="7"/>
        <v>#DIV/0!</v>
      </c>
      <c r="I31" s="76" t="e">
        <f t="shared" si="7"/>
        <v>#DIV/0!</v>
      </c>
      <c r="J31" s="76" t="e">
        <f t="shared" si="7"/>
        <v>#DIV/0!</v>
      </c>
      <c r="K31" s="76" t="e">
        <f t="shared" si="7"/>
        <v>#DIV/0!</v>
      </c>
    </row>
    <row r="32" spans="1:11" ht="14.5">
      <c r="A32" s="65" t="s">
        <v>86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2" ht="14.5">
      <c r="A33" s="65" t="s">
        <v>158</v>
      </c>
      <c r="B33" s="67">
        <f>B37/B39</f>
        <v>1.052514937034654</v>
      </c>
      <c r="C33" s="67" t="e">
        <f t="shared" ref="C33:K33" si="8">C37/C39</f>
        <v>#DIV/0!</v>
      </c>
      <c r="D33" s="67">
        <f t="shared" si="8"/>
        <v>0.71870042971143577</v>
      </c>
      <c r="E33" s="67">
        <f t="shared" si="8"/>
        <v>2.420058237141828</v>
      </c>
      <c r="F33" s="67" t="e">
        <f t="shared" si="8"/>
        <v>#DIV/0!</v>
      </c>
      <c r="G33" s="67" t="e">
        <f t="shared" si="8"/>
        <v>#DIV/0!</v>
      </c>
      <c r="H33" s="67" t="e">
        <f t="shared" si="8"/>
        <v>#DIV/0!</v>
      </c>
      <c r="I33" s="67" t="e">
        <f t="shared" si="8"/>
        <v>#DIV/0!</v>
      </c>
      <c r="J33" s="67" t="e">
        <f t="shared" si="8"/>
        <v>#DIV/0!</v>
      </c>
      <c r="K33" s="67" t="e">
        <f t="shared" si="8"/>
        <v>#DIV/0!</v>
      </c>
    </row>
    <row r="34" spans="1:12" ht="14.5">
      <c r="A34" s="65" t="s">
        <v>125</v>
      </c>
      <c r="B34" s="67">
        <f>B26/B5</f>
        <v>215.52219482120839</v>
      </c>
      <c r="C34" s="67" t="e">
        <f t="shared" ref="C34:K34" si="9">C26/C5</f>
        <v>#DIV/0!</v>
      </c>
      <c r="D34" s="67">
        <f t="shared" si="9"/>
        <v>6.2451167054509549</v>
      </c>
      <c r="E34" s="67">
        <f t="shared" si="9"/>
        <v>4.9403132900669862</v>
      </c>
      <c r="F34" s="67" t="e">
        <f t="shared" si="9"/>
        <v>#DIV/0!</v>
      </c>
      <c r="G34" s="67" t="e">
        <f t="shared" si="9"/>
        <v>#DIV/0!</v>
      </c>
      <c r="H34" s="67" t="e">
        <f t="shared" si="9"/>
        <v>#DIV/0!</v>
      </c>
      <c r="I34" s="67" t="e">
        <f t="shared" si="9"/>
        <v>#DIV/0!</v>
      </c>
      <c r="J34" s="67" t="e">
        <f t="shared" si="9"/>
        <v>#DIV/0!</v>
      </c>
      <c r="K34" s="67" t="e">
        <f t="shared" si="9"/>
        <v>#DIV/0!</v>
      </c>
    </row>
    <row r="35" spans="1:12" ht="14.5">
      <c r="A35" s="71"/>
      <c r="B35" s="72"/>
      <c r="C35" s="72"/>
      <c r="D35" s="72"/>
      <c r="E35" s="72"/>
      <c r="F35" s="72"/>
      <c r="G35" s="72"/>
      <c r="H35" s="72"/>
      <c r="I35" s="72"/>
      <c r="J35" s="72"/>
      <c r="K35" s="72"/>
    </row>
    <row r="36" spans="1:12" ht="14.5">
      <c r="A36" s="92" t="s">
        <v>159</v>
      </c>
      <c r="B36" s="93"/>
      <c r="C36" s="93"/>
      <c r="D36" s="93"/>
      <c r="E36" s="93"/>
      <c r="F36" s="93"/>
      <c r="G36" s="93"/>
      <c r="H36" s="93"/>
      <c r="I36" s="93"/>
      <c r="J36" s="93"/>
      <c r="K36" s="94"/>
    </row>
    <row r="37" spans="1:12" ht="14.5">
      <c r="A37" s="81" t="s">
        <v>160</v>
      </c>
      <c r="B37" s="86">
        <v>73.2</v>
      </c>
      <c r="C37" s="86"/>
      <c r="D37" s="86">
        <v>33.1</v>
      </c>
      <c r="E37" s="86">
        <v>134.5</v>
      </c>
      <c r="F37" s="86"/>
      <c r="G37" s="86"/>
      <c r="H37" s="86"/>
      <c r="I37" s="86"/>
      <c r="J37" s="86"/>
      <c r="K37" s="86"/>
    </row>
    <row r="38" spans="1:12" ht="14.5">
      <c r="A38" s="65" t="s">
        <v>161</v>
      </c>
      <c r="B38" s="70">
        <f>B15</f>
        <v>4351.6000000000004</v>
      </c>
      <c r="C38" s="70">
        <f t="shared" ref="C38:K38" si="10">C15</f>
        <v>0</v>
      </c>
      <c r="D38" s="70">
        <f t="shared" si="10"/>
        <v>14035</v>
      </c>
      <c r="E38" s="70">
        <f t="shared" si="10"/>
        <v>16936.7</v>
      </c>
      <c r="F38" s="70">
        <f t="shared" si="10"/>
        <v>0</v>
      </c>
      <c r="G38" s="70">
        <f t="shared" si="10"/>
        <v>0</v>
      </c>
      <c r="H38" s="70">
        <f t="shared" si="10"/>
        <v>0</v>
      </c>
      <c r="I38" s="70">
        <f t="shared" si="10"/>
        <v>0</v>
      </c>
      <c r="J38" s="70">
        <f t="shared" si="10"/>
        <v>0</v>
      </c>
      <c r="K38" s="70">
        <f t="shared" si="10"/>
        <v>0</v>
      </c>
    </row>
    <row r="39" spans="1:12" ht="14.5">
      <c r="A39" s="65" t="s">
        <v>122</v>
      </c>
      <c r="B39" s="67">
        <f>B38/B28</f>
        <v>69.547706568643122</v>
      </c>
      <c r="C39" s="67" t="e">
        <f t="shared" ref="C39:K39" si="11">C38/C28</f>
        <v>#DIV/0!</v>
      </c>
      <c r="D39" s="67">
        <f t="shared" si="11"/>
        <v>46.055350228870644</v>
      </c>
      <c r="E39" s="67">
        <f t="shared" si="11"/>
        <v>55.577174935611936</v>
      </c>
      <c r="F39" s="67" t="e">
        <f t="shared" si="11"/>
        <v>#DIV/0!</v>
      </c>
      <c r="G39" s="67" t="e">
        <f t="shared" si="11"/>
        <v>#DIV/0!</v>
      </c>
      <c r="H39" s="67" t="e">
        <f t="shared" si="11"/>
        <v>#DIV/0!</v>
      </c>
      <c r="I39" s="67" t="e">
        <f t="shared" si="11"/>
        <v>#DIV/0!</v>
      </c>
      <c r="J39" s="67" t="e">
        <f t="shared" si="11"/>
        <v>#DIV/0!</v>
      </c>
      <c r="K39" s="67" t="e">
        <f t="shared" si="11"/>
        <v>#DIV/0!</v>
      </c>
    </row>
    <row r="40" spans="1:12" ht="14.5">
      <c r="A40" s="65" t="s">
        <v>121</v>
      </c>
      <c r="B40" s="69">
        <f>B8/B15</f>
        <v>-3.8583509513742068E-3</v>
      </c>
      <c r="C40" s="69" t="e">
        <f t="shared" ref="C40:K40" si="12">C8/C15</f>
        <v>#DIV/0!</v>
      </c>
      <c r="D40" s="69">
        <f>D8/D15</f>
        <v>0.10794442465265408</v>
      </c>
      <c r="E40" s="69">
        <f>E8/E15</f>
        <v>0.17207011991710311</v>
      </c>
      <c r="F40" s="69" t="e">
        <f t="shared" si="12"/>
        <v>#DIV/0!</v>
      </c>
      <c r="G40" s="69" t="e">
        <f t="shared" si="12"/>
        <v>#DIV/0!</v>
      </c>
      <c r="H40" s="69" t="e">
        <f t="shared" si="12"/>
        <v>#DIV/0!</v>
      </c>
      <c r="I40" s="69" t="e">
        <f t="shared" si="12"/>
        <v>#DIV/0!</v>
      </c>
      <c r="J40" s="69" t="e">
        <f t="shared" si="12"/>
        <v>#DIV/0!</v>
      </c>
      <c r="K40" s="69" t="e">
        <f t="shared" si="12"/>
        <v>#DIV/0!</v>
      </c>
    </row>
    <row r="41" spans="1:12" ht="14.5">
      <c r="A41" s="65" t="s">
        <v>120</v>
      </c>
      <c r="B41" s="69">
        <f>B5/(B15+B16)</f>
        <v>4.6046514928921719E-3</v>
      </c>
      <c r="C41" s="69" t="e">
        <f t="shared" ref="C41:K41" si="13">C5/(C15+C16)</f>
        <v>#DIV/0!</v>
      </c>
      <c r="D41" s="69">
        <f t="shared" si="13"/>
        <v>0.15005475871774659</v>
      </c>
      <c r="E41" s="69">
        <f t="shared" si="13"/>
        <v>0.18623582006960723</v>
      </c>
      <c r="F41" s="69" t="e">
        <f t="shared" si="13"/>
        <v>#DIV/0!</v>
      </c>
      <c r="G41" s="69" t="e">
        <f t="shared" si="13"/>
        <v>#DIV/0!</v>
      </c>
      <c r="H41" s="69" t="e">
        <f t="shared" si="13"/>
        <v>#DIV/0!</v>
      </c>
      <c r="I41" s="69" t="e">
        <f t="shared" si="13"/>
        <v>#DIV/0!</v>
      </c>
      <c r="J41" s="69" t="e">
        <f t="shared" si="13"/>
        <v>#DIV/0!</v>
      </c>
      <c r="K41" s="69" t="e">
        <f t="shared" si="13"/>
        <v>#DIV/0!</v>
      </c>
    </row>
    <row r="42" spans="1:12" ht="14.5">
      <c r="A42" s="65" t="s">
        <v>162</v>
      </c>
      <c r="B42" s="95">
        <v>0.05</v>
      </c>
      <c r="C42" s="70"/>
      <c r="D42" s="87"/>
      <c r="E42" s="87"/>
      <c r="F42" s="70"/>
      <c r="G42" s="70"/>
      <c r="H42" s="70"/>
      <c r="I42" s="70"/>
      <c r="J42" s="77"/>
      <c r="K42" s="77"/>
    </row>
    <row r="43" spans="1:12" ht="14.5">
      <c r="A43" s="65" t="s">
        <v>118</v>
      </c>
      <c r="B43" s="70">
        <v>479.01</v>
      </c>
      <c r="C43" s="70"/>
      <c r="D43" s="70">
        <v>57</v>
      </c>
      <c r="E43" s="70">
        <v>56</v>
      </c>
      <c r="F43" s="70"/>
      <c r="G43" s="70"/>
      <c r="H43" s="70"/>
      <c r="I43" s="70"/>
      <c r="J43" s="70"/>
      <c r="K43" s="70"/>
      <c r="L43" s="61" t="s">
        <v>163</v>
      </c>
    </row>
    <row r="44" spans="1:12" ht="14.5">
      <c r="A44" s="65" t="s">
        <v>89</v>
      </c>
      <c r="B44" s="70">
        <v>1193.3499999999999</v>
      </c>
      <c r="C44" s="70"/>
      <c r="D44" s="70">
        <v>209</v>
      </c>
      <c r="E44" s="70">
        <v>196</v>
      </c>
      <c r="F44" s="70"/>
      <c r="G44" s="70"/>
      <c r="H44" s="70"/>
      <c r="I44" s="70"/>
      <c r="J44" s="70"/>
      <c r="K44" s="70"/>
      <c r="L44" s="61" t="s">
        <v>163</v>
      </c>
    </row>
    <row r="45" spans="1:12" ht="14.5">
      <c r="A45" s="65" t="s">
        <v>117</v>
      </c>
      <c r="B45" s="70">
        <v>182.53</v>
      </c>
      <c r="C45" s="70"/>
      <c r="D45" s="70">
        <v>75</v>
      </c>
      <c r="E45" s="70">
        <v>72</v>
      </c>
      <c r="F45" s="70"/>
      <c r="G45" s="70"/>
      <c r="H45" s="70"/>
      <c r="I45" s="70"/>
      <c r="J45" s="70"/>
      <c r="K45" s="70"/>
      <c r="L45" s="61" t="s">
        <v>163</v>
      </c>
    </row>
    <row r="46" spans="1:12" ht="14.5">
      <c r="A46" s="65" t="s">
        <v>116</v>
      </c>
      <c r="B46" s="70">
        <f>B43+B44-B45</f>
        <v>1489.83</v>
      </c>
      <c r="C46" s="70">
        <f t="shared" ref="C46:K46" si="14">C43+C44-C45</f>
        <v>0</v>
      </c>
      <c r="D46" s="70">
        <f t="shared" si="14"/>
        <v>191</v>
      </c>
      <c r="E46" s="70">
        <f t="shared" si="14"/>
        <v>180</v>
      </c>
      <c r="F46" s="70">
        <f t="shared" si="14"/>
        <v>0</v>
      </c>
      <c r="G46" s="70">
        <f t="shared" si="14"/>
        <v>0</v>
      </c>
      <c r="H46" s="70">
        <f t="shared" si="14"/>
        <v>0</v>
      </c>
      <c r="I46" s="70">
        <f t="shared" si="14"/>
        <v>0</v>
      </c>
      <c r="J46" s="70">
        <f t="shared" si="14"/>
        <v>0</v>
      </c>
      <c r="K46" s="70">
        <f t="shared" si="14"/>
        <v>0</v>
      </c>
    </row>
    <row r="47" spans="1:12" ht="14.5">
      <c r="A47" s="65" t="s">
        <v>115</v>
      </c>
      <c r="B47" s="67">
        <f>B16/B25</f>
        <v>0.58807359800739023</v>
      </c>
      <c r="C47" s="67" t="e">
        <f t="shared" ref="C47:K47" si="15">C16/C25</f>
        <v>#DIV/0!</v>
      </c>
      <c r="D47" s="67">
        <f t="shared" si="15"/>
        <v>0.48241489446153163</v>
      </c>
      <c r="E47" s="67">
        <f t="shared" si="15"/>
        <v>8.940709111380836E-2</v>
      </c>
      <c r="F47" s="67" t="e">
        <f t="shared" si="15"/>
        <v>#DIV/0!</v>
      </c>
      <c r="G47" s="67" t="e">
        <f t="shared" si="15"/>
        <v>#DIV/0!</v>
      </c>
      <c r="H47" s="67" t="e">
        <f t="shared" si="15"/>
        <v>#DIV/0!</v>
      </c>
      <c r="I47" s="67" t="e">
        <f t="shared" si="15"/>
        <v>#DIV/0!</v>
      </c>
      <c r="J47" s="67" t="e">
        <f t="shared" si="15"/>
        <v>#DIV/0!</v>
      </c>
      <c r="K47" s="67" t="e">
        <f t="shared" si="15"/>
        <v>#DIV/0!</v>
      </c>
    </row>
    <row r="48" spans="1:12" ht="14.5">
      <c r="A48" s="65" t="s">
        <v>114</v>
      </c>
      <c r="B48" s="67">
        <f>(B16-B19)/B25</f>
        <v>0.57639050820458126</v>
      </c>
      <c r="C48" s="67" t="e">
        <f t="shared" ref="C48:K48" si="16">(C16-C19)/C25</f>
        <v>#DIV/0!</v>
      </c>
      <c r="D48" s="67">
        <f t="shared" si="16"/>
        <v>0.36456968268075801</v>
      </c>
      <c r="E48" s="67">
        <f t="shared" si="16"/>
        <v>4.9229282445408099E-2</v>
      </c>
      <c r="F48" s="67" t="e">
        <f t="shared" si="16"/>
        <v>#DIV/0!</v>
      </c>
      <c r="G48" s="67" t="e">
        <f t="shared" si="16"/>
        <v>#DIV/0!</v>
      </c>
      <c r="H48" s="67" t="e">
        <f t="shared" si="16"/>
        <v>#DIV/0!</v>
      </c>
      <c r="I48" s="67" t="e">
        <f t="shared" si="16"/>
        <v>#DIV/0!</v>
      </c>
      <c r="J48" s="67" t="e">
        <f t="shared" si="16"/>
        <v>#DIV/0!</v>
      </c>
      <c r="K48" s="67" t="e">
        <f t="shared" si="16"/>
        <v>#DIV/0!</v>
      </c>
    </row>
    <row r="49" spans="1:11" ht="14.5">
      <c r="A49" s="65" t="s">
        <v>110</v>
      </c>
      <c r="B49" s="67">
        <f>B5/B20</f>
        <v>0.95215732315820367</v>
      </c>
      <c r="C49" s="67" t="e">
        <f t="shared" ref="C49:K49" si="17">C5/C20</f>
        <v>#DIV/0!</v>
      </c>
      <c r="D49" s="67">
        <f t="shared" si="17"/>
        <v>4.9845342706502631</v>
      </c>
      <c r="E49" s="67">
        <f t="shared" si="17"/>
        <v>9.0360339142722559</v>
      </c>
      <c r="F49" s="67" t="e">
        <f t="shared" si="17"/>
        <v>#DIV/0!</v>
      </c>
      <c r="G49" s="67" t="e">
        <f t="shared" si="17"/>
        <v>#DIV/0!</v>
      </c>
      <c r="H49" s="67" t="e">
        <f t="shared" si="17"/>
        <v>#DIV/0!</v>
      </c>
      <c r="I49" s="67" t="e">
        <f t="shared" si="17"/>
        <v>#DIV/0!</v>
      </c>
      <c r="J49" s="67" t="e">
        <f t="shared" si="17"/>
        <v>#DIV/0!</v>
      </c>
      <c r="K49" s="67" t="e">
        <f t="shared" si="17"/>
        <v>#DIV/0!</v>
      </c>
    </row>
    <row r="50" spans="1:11" ht="15" thickBot="1">
      <c r="A50" s="88" t="s">
        <v>113</v>
      </c>
      <c r="B50" s="67">
        <f>B20/B16</f>
        <v>1.264920455178303E-2</v>
      </c>
      <c r="C50" s="67" t="e">
        <f t="shared" ref="C50:K50" si="18">C20/C16</f>
        <v>#DIV/0!</v>
      </c>
      <c r="D50" s="67">
        <f t="shared" si="18"/>
        <v>0.11693142352191693</v>
      </c>
      <c r="E50" s="67">
        <f t="shared" si="18"/>
        <v>0.11586530589968891</v>
      </c>
      <c r="F50" s="67" t="e">
        <f t="shared" si="18"/>
        <v>#DIV/0!</v>
      </c>
      <c r="G50" s="67" t="e">
        <f t="shared" si="18"/>
        <v>#DIV/0!</v>
      </c>
      <c r="H50" s="67" t="e">
        <f t="shared" si="18"/>
        <v>#DIV/0!</v>
      </c>
      <c r="I50" s="67" t="e">
        <f t="shared" si="18"/>
        <v>#DIV/0!</v>
      </c>
      <c r="J50" s="67" t="e">
        <f t="shared" si="18"/>
        <v>#DIV/0!</v>
      </c>
      <c r="K50" s="67" t="e">
        <f t="shared" si="18"/>
        <v>#DIV/0!</v>
      </c>
    </row>
  </sheetData>
  <mergeCells count="5">
    <mergeCell ref="B1:C1"/>
    <mergeCell ref="D1:E1"/>
    <mergeCell ref="F1:G1"/>
    <mergeCell ref="H1:I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Peer Analysis</vt:lpstr>
      <vt:lpstr>Consol</vt:lpstr>
      <vt:lpstr>Peer Sheet</vt:lpstr>
      <vt:lpstr>'Peer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2021-05-19T08:13:17Z</cp:lastPrinted>
  <dcterms:created xsi:type="dcterms:W3CDTF">2021-01-27T07:46:46Z</dcterms:created>
  <dcterms:modified xsi:type="dcterms:W3CDTF">2025-11-21T05:51:59Z</dcterms:modified>
</cp:coreProperties>
</file>