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2-FY26\Kriti\"/>
    </mc:Choice>
  </mc:AlternateContent>
  <xr:revisionPtr revIDLastSave="0" documentId="8_{69AEB312-E235-494A-A806-5C8741258A3F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8" i="1" l="1"/>
  <c r="P71" i="1" s="1"/>
  <c r="Q68" i="1"/>
  <c r="Q71" i="1" s="1"/>
  <c r="R68" i="1"/>
  <c r="R71" i="1" s="1"/>
  <c r="S68" i="1"/>
  <c r="T68" i="1"/>
  <c r="T71" i="1" s="1"/>
  <c r="W68" i="1"/>
  <c r="W71" i="1" s="1"/>
  <c r="P70" i="1"/>
  <c r="P79" i="1" s="1"/>
  <c r="Q70" i="1"/>
  <c r="Q79" i="1" s="1"/>
  <c r="R70" i="1"/>
  <c r="R79" i="1" s="1"/>
  <c r="S70" i="1"/>
  <c r="S79" i="1" s="1"/>
  <c r="S71" i="1"/>
  <c r="U71" i="1"/>
  <c r="V71" i="1"/>
  <c r="P74" i="1"/>
  <c r="Q74" i="1"/>
  <c r="R74" i="1"/>
  <c r="S74" i="1"/>
  <c r="T74" i="1"/>
  <c r="U74" i="1"/>
  <c r="V74" i="1"/>
  <c r="W74" i="1"/>
  <c r="T79" i="1"/>
  <c r="U79" i="1"/>
  <c r="V79" i="1"/>
  <c r="W79" i="1"/>
  <c r="P80" i="1"/>
  <c r="Q80" i="1"/>
  <c r="R80" i="1"/>
  <c r="S80" i="1"/>
  <c r="T80" i="1"/>
  <c r="U80" i="1"/>
  <c r="V80" i="1"/>
  <c r="W80" i="1"/>
  <c r="P81" i="1"/>
  <c r="Q81" i="1"/>
  <c r="R81" i="1"/>
  <c r="V81" i="1"/>
  <c r="P82" i="1"/>
  <c r="P83" i="1" s="1"/>
  <c r="Q82" i="1"/>
  <c r="R82" i="1"/>
  <c r="S82" i="1"/>
  <c r="T82" i="1"/>
  <c r="U82" i="1"/>
  <c r="V82" i="1"/>
  <c r="W82" i="1"/>
  <c r="L54" i="1"/>
  <c r="L53" i="1"/>
  <c r="L22" i="1"/>
  <c r="X43" i="1"/>
  <c r="X49" i="1" s="1"/>
  <c r="L49" i="1"/>
  <c r="L63" i="1"/>
  <c r="K63" i="1"/>
  <c r="X56" i="1"/>
  <c r="X37" i="1"/>
  <c r="X25" i="1"/>
  <c r="X15" i="1"/>
  <c r="X10" i="1"/>
  <c r="L62" i="1" s="1"/>
  <c r="X6" i="1"/>
  <c r="X69" i="1" s="1"/>
  <c r="X72" i="1" s="1"/>
  <c r="L29" i="1"/>
  <c r="L13" i="1"/>
  <c r="L14" i="1" s="1"/>
  <c r="K6" i="1"/>
  <c r="K5" i="1"/>
  <c r="Q83" i="1" l="1"/>
  <c r="X50" i="1"/>
  <c r="V83" i="1"/>
  <c r="L56" i="1"/>
  <c r="R83" i="1"/>
  <c r="X78" i="1"/>
  <c r="X77" i="1"/>
  <c r="X68" i="1"/>
  <c r="X12" i="1"/>
  <c r="L64" i="1"/>
  <c r="X61" i="1"/>
  <c r="X60" i="1"/>
  <c r="X13" i="1"/>
  <c r="L30" i="1"/>
  <c r="L21" i="1"/>
  <c r="W56" i="1"/>
  <c r="W43" i="1"/>
  <c r="U25" i="1"/>
  <c r="V25" i="1"/>
  <c r="W25" i="1"/>
  <c r="T25" i="1"/>
  <c r="W15" i="1"/>
  <c r="V15" i="1"/>
  <c r="W10" i="1"/>
  <c r="W6" i="1"/>
  <c r="K53" i="1"/>
  <c r="K56" i="1" s="1"/>
  <c r="J53" i="1"/>
  <c r="J56" i="1" s="1"/>
  <c r="J41" i="1"/>
  <c r="J40" i="1"/>
  <c r="J13" i="1"/>
  <c r="J14" i="1" s="1"/>
  <c r="J6" i="1"/>
  <c r="J5" i="1"/>
  <c r="K41" i="1"/>
  <c r="K40" i="1"/>
  <c r="K29" i="1"/>
  <c r="K13" i="1"/>
  <c r="K14" i="1" s="1"/>
  <c r="W49" i="1" l="1"/>
  <c r="W81" i="1"/>
  <c r="W83" i="1" s="1"/>
  <c r="W77" i="1"/>
  <c r="W78" i="1"/>
  <c r="W85" i="1"/>
  <c r="W75" i="1"/>
  <c r="L23" i="1"/>
  <c r="W12" i="1"/>
  <c r="K34" i="1"/>
  <c r="J21" i="1"/>
  <c r="K30" i="1"/>
  <c r="W60" i="1"/>
  <c r="K21" i="1"/>
  <c r="K15" i="1"/>
  <c r="Z7" i="1"/>
  <c r="Z6" i="1"/>
  <c r="K62" i="1"/>
  <c r="V10" i="1"/>
  <c r="AB12" i="1"/>
  <c r="J63" i="1"/>
  <c r="K59" i="1"/>
  <c r="W69" i="1" s="1"/>
  <c r="W72" i="1" s="1"/>
  <c r="J59" i="1"/>
  <c r="J61" i="1" s="1"/>
  <c r="V49" i="1"/>
  <c r="W37" i="1"/>
  <c r="W61" i="1" s="1"/>
  <c r="K49" i="1"/>
  <c r="C63" i="1"/>
  <c r="B63" i="1"/>
  <c r="W86" i="1" l="1"/>
  <c r="V85" i="1"/>
  <c r="K61" i="1"/>
  <c r="K64" i="1" s="1"/>
  <c r="W73" i="1" s="1"/>
  <c r="J23" i="1"/>
  <c r="V86" i="1"/>
  <c r="W13" i="1"/>
  <c r="W76" i="1" s="1"/>
  <c r="W50" i="1"/>
  <c r="K23" i="1"/>
  <c r="K24" i="1"/>
  <c r="V6" i="1"/>
  <c r="V69" i="1" s="1"/>
  <c r="V72" i="1" s="1"/>
  <c r="V56" i="1"/>
  <c r="AA56" i="1" s="1"/>
  <c r="V78" i="1" l="1"/>
  <c r="V77" i="1"/>
  <c r="AA41" i="1"/>
  <c r="V60" i="1"/>
  <c r="AA46" i="1"/>
  <c r="V12" i="1"/>
  <c r="V37" i="1" l="1"/>
  <c r="V50" i="1" s="1"/>
  <c r="W84" i="1" s="1"/>
  <c r="U15" i="1"/>
  <c r="U56" i="1" l="1"/>
  <c r="J49" i="1"/>
  <c r="I5" i="1"/>
  <c r="V61" i="1" l="1"/>
  <c r="V13" i="1" s="1"/>
  <c r="V76" i="1" s="1"/>
  <c r="I53" i="1"/>
  <c r="I49" i="1"/>
  <c r="I50" i="1" s="1"/>
  <c r="I61" i="1"/>
  <c r="I41" i="1"/>
  <c r="H41" i="1"/>
  <c r="I40" i="1"/>
  <c r="I6" i="1"/>
  <c r="J44" i="1" l="1"/>
  <c r="J50" i="1" s="1"/>
  <c r="K44" i="1" s="1"/>
  <c r="K50" i="1" s="1"/>
  <c r="L44" i="1" s="1"/>
  <c r="L50" i="1" s="1"/>
  <c r="I27" i="1"/>
  <c r="I13" i="1"/>
  <c r="J15" i="1" s="1"/>
  <c r="J24" i="1" l="1"/>
  <c r="I21" i="1"/>
  <c r="I14" i="1"/>
  <c r="P15" i="1"/>
  <c r="Q15" i="1"/>
  <c r="R15" i="1"/>
  <c r="S15" i="1"/>
  <c r="T15" i="1"/>
  <c r="U86" i="1" l="1"/>
  <c r="K31" i="1"/>
  <c r="J27" i="1"/>
  <c r="J29" i="1" s="1"/>
  <c r="V75" i="1" s="1"/>
  <c r="I24" i="1"/>
  <c r="J31" i="1" s="1"/>
  <c r="I23" i="1"/>
  <c r="I63" i="1"/>
  <c r="H49" i="1"/>
  <c r="I56" i="1"/>
  <c r="J34" i="1" l="1"/>
  <c r="K35" i="1" s="1"/>
  <c r="J30" i="1"/>
  <c r="I29" i="1"/>
  <c r="I30" i="1" s="1"/>
  <c r="U49" i="1"/>
  <c r="U37" i="1"/>
  <c r="U6" i="1"/>
  <c r="U69" i="1" s="1"/>
  <c r="U72" i="1" s="1"/>
  <c r="I34" i="1" l="1"/>
  <c r="J35" i="1" s="1"/>
  <c r="U75" i="1"/>
  <c r="U12" i="1"/>
  <c r="U61" i="1"/>
  <c r="U50" i="1"/>
  <c r="V84" i="1" s="1"/>
  <c r="U10" i="1"/>
  <c r="U77" i="1" l="1"/>
  <c r="U78" i="1"/>
  <c r="U85" i="1"/>
  <c r="U13" i="1"/>
  <c r="U76" i="1" s="1"/>
  <c r="I62" i="1"/>
  <c r="I64" i="1" s="1"/>
  <c r="U73" i="1" s="1"/>
  <c r="U60" i="1"/>
  <c r="S43" i="1"/>
  <c r="T53" i="1"/>
  <c r="T43" i="1"/>
  <c r="U81" i="1" s="1"/>
  <c r="U83" i="1" s="1"/>
  <c r="T36" i="1"/>
  <c r="H40" i="1"/>
  <c r="H6" i="1"/>
  <c r="H5" i="1"/>
  <c r="T81" i="1" l="1"/>
  <c r="T83" i="1" s="1"/>
  <c r="S81" i="1"/>
  <c r="S83" i="1" s="1"/>
  <c r="S87" i="1"/>
  <c r="H26" i="1"/>
  <c r="H27" i="1" s="1"/>
  <c r="H22" i="1"/>
  <c r="H63" i="1" l="1"/>
  <c r="H59" i="1"/>
  <c r="H61" i="1" s="1"/>
  <c r="H53" i="1"/>
  <c r="H56" i="1" s="1"/>
  <c r="H50" i="1"/>
  <c r="H13" i="1" l="1"/>
  <c r="K16" i="1" s="1"/>
  <c r="H21" i="1" l="1"/>
  <c r="I15" i="1"/>
  <c r="H14" i="1"/>
  <c r="H24" i="1" l="1"/>
  <c r="K32" i="1" s="1"/>
  <c r="T86" i="1"/>
  <c r="H23" i="1"/>
  <c r="I31" i="1" l="1"/>
  <c r="H29" i="1"/>
  <c r="H34" i="1" s="1"/>
  <c r="T56" i="1"/>
  <c r="T49" i="1"/>
  <c r="T37" i="1"/>
  <c r="T10" i="1"/>
  <c r="T6" i="1"/>
  <c r="T69" i="1" s="1"/>
  <c r="T72" i="1" s="1"/>
  <c r="I35" i="1" l="1"/>
  <c r="K36" i="1"/>
  <c r="H30" i="1"/>
  <c r="T75" i="1"/>
  <c r="T78" i="1"/>
  <c r="T85" i="1"/>
  <c r="T77" i="1"/>
  <c r="T12" i="1"/>
  <c r="H62" i="1"/>
  <c r="H64" i="1" s="1"/>
  <c r="T73" i="1" s="1"/>
  <c r="T50" i="1"/>
  <c r="U84" i="1" s="1"/>
  <c r="T61" i="1"/>
  <c r="T60" i="1"/>
  <c r="T13" i="1" l="1"/>
  <c r="T76" i="1" s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G54" i="1" l="1"/>
  <c r="F27" i="1" l="1"/>
  <c r="F22" i="1"/>
  <c r="G63" i="1"/>
  <c r="G41" i="1"/>
  <c r="G40" i="1"/>
  <c r="B26" i="1"/>
  <c r="G22" i="1"/>
  <c r="G6" i="1"/>
  <c r="G5" i="1"/>
  <c r="F63" i="1" l="1"/>
  <c r="E63" i="1"/>
  <c r="D63" i="1"/>
  <c r="G59" i="1" l="1"/>
  <c r="E59" i="1"/>
  <c r="E61" i="1" s="1"/>
  <c r="D59" i="1"/>
  <c r="D61" i="1" s="1"/>
  <c r="C59" i="1"/>
  <c r="C61" i="1" s="1"/>
  <c r="B59" i="1"/>
  <c r="B61" i="1" s="1"/>
  <c r="F59" i="1"/>
  <c r="F61" i="1" s="1"/>
  <c r="B54" i="1"/>
  <c r="C54" i="1"/>
  <c r="D54" i="1"/>
  <c r="E54" i="1"/>
  <c r="F54" i="1"/>
  <c r="F53" i="1"/>
  <c r="E53" i="1"/>
  <c r="D53" i="1"/>
  <c r="C53" i="1"/>
  <c r="B53" i="1"/>
  <c r="G53" i="1"/>
  <c r="G61" i="1" l="1"/>
  <c r="G49" i="1"/>
  <c r="E49" i="1"/>
  <c r="D49" i="1"/>
  <c r="C49" i="1"/>
  <c r="B49" i="1"/>
  <c r="F41" i="1"/>
  <c r="E41" i="1"/>
  <c r="E6" i="1"/>
  <c r="F6" i="1"/>
  <c r="F49" i="1" l="1"/>
  <c r="G56" i="1" l="1"/>
  <c r="F56" i="1"/>
  <c r="E56" i="1"/>
  <c r="D56" i="1"/>
  <c r="C56" i="1"/>
  <c r="B56" i="1"/>
  <c r="F50" i="1"/>
  <c r="E50" i="1"/>
  <c r="D50" i="1"/>
  <c r="C50" i="1"/>
  <c r="B50" i="1"/>
  <c r="G50" i="1"/>
  <c r="B22" i="1"/>
  <c r="B12" i="1"/>
  <c r="B13" i="1" s="1"/>
  <c r="B14" i="1" s="1"/>
  <c r="C22" i="1"/>
  <c r="C5" i="1"/>
  <c r="E40" i="1"/>
  <c r="D40" i="1"/>
  <c r="F40" i="1"/>
  <c r="D22" i="1"/>
  <c r="E5" i="1"/>
  <c r="D5" i="1"/>
  <c r="F5" i="1"/>
  <c r="E22" i="1"/>
  <c r="F13" i="1"/>
  <c r="I16" i="1" s="1"/>
  <c r="E13" i="1"/>
  <c r="H16" i="1" s="1"/>
  <c r="D13" i="1"/>
  <c r="C13" i="1"/>
  <c r="C21" i="1" l="1"/>
  <c r="D14" i="1"/>
  <c r="E14" i="1"/>
  <c r="E16" i="1"/>
  <c r="F14" i="1"/>
  <c r="F16" i="1"/>
  <c r="B21" i="1"/>
  <c r="C14" i="1"/>
  <c r="C15" i="1" s="1"/>
  <c r="F15" i="1"/>
  <c r="D21" i="1"/>
  <c r="F21" i="1"/>
  <c r="E21" i="1"/>
  <c r="Q86" i="1" l="1"/>
  <c r="P86" i="1"/>
  <c r="R86" i="1"/>
  <c r="E15" i="1"/>
  <c r="D15" i="1"/>
  <c r="G13" i="1" l="1"/>
  <c r="J16" i="1" s="1"/>
  <c r="H15" i="1" l="1"/>
  <c r="G21" i="1"/>
  <c r="G16" i="1"/>
  <c r="G15" i="1"/>
  <c r="C24" i="1"/>
  <c r="C23" i="1"/>
  <c r="B24" i="1"/>
  <c r="B30" i="1" s="1"/>
  <c r="B23" i="1"/>
  <c r="G14" i="1"/>
  <c r="P10" i="1"/>
  <c r="B62" i="1" l="1"/>
  <c r="P85" i="1"/>
  <c r="G23" i="1"/>
  <c r="S86" i="1"/>
  <c r="G24" i="1"/>
  <c r="J32" i="1" s="1"/>
  <c r="B25" i="1"/>
  <c r="B27" i="1" s="1"/>
  <c r="B29" i="1" s="1"/>
  <c r="G27" i="1"/>
  <c r="C27" i="1"/>
  <c r="C29" i="1" s="1"/>
  <c r="B64" i="1"/>
  <c r="D62" i="1"/>
  <c r="D64" i="1" s="1"/>
  <c r="P73" i="1" s="1"/>
  <c r="B34" i="1"/>
  <c r="H31" i="1" l="1"/>
  <c r="G29" i="1"/>
  <c r="C30" i="1"/>
  <c r="C31" i="1" s="1"/>
  <c r="C34" i="1"/>
  <c r="C35" i="1" s="1"/>
  <c r="G34" i="1" l="1"/>
  <c r="J36" i="1" s="1"/>
  <c r="G30" i="1"/>
  <c r="P56" i="1"/>
  <c r="P37" i="1"/>
  <c r="P49" i="1"/>
  <c r="P25" i="1"/>
  <c r="P6" i="1"/>
  <c r="P69" i="1" l="1"/>
  <c r="P72" i="1" s="1"/>
  <c r="P78" i="1"/>
  <c r="P77" i="1"/>
  <c r="H35" i="1"/>
  <c r="P50" i="1"/>
  <c r="P61" i="1"/>
  <c r="P60" i="1"/>
  <c r="E24" i="1"/>
  <c r="H32" i="1" s="1"/>
  <c r="E23" i="1"/>
  <c r="D24" i="1"/>
  <c r="D23" i="1"/>
  <c r="F24" i="1"/>
  <c r="F23" i="1"/>
  <c r="P12" i="1"/>
  <c r="S56" i="1"/>
  <c r="S49" i="1"/>
  <c r="S37" i="1"/>
  <c r="S25" i="1"/>
  <c r="S10" i="1"/>
  <c r="S6" i="1"/>
  <c r="P84" i="1" l="1"/>
  <c r="S69" i="1"/>
  <c r="S72" i="1" s="1"/>
  <c r="S75" i="1"/>
  <c r="S85" i="1"/>
  <c r="S77" i="1"/>
  <c r="S78" i="1"/>
  <c r="S12" i="1"/>
  <c r="F29" i="1"/>
  <c r="I32" i="1"/>
  <c r="S60" i="1"/>
  <c r="S61" i="1"/>
  <c r="G32" i="1"/>
  <c r="G31" i="1"/>
  <c r="G62" i="1"/>
  <c r="G64" i="1" s="1"/>
  <c r="S73" i="1" s="1"/>
  <c r="E27" i="1"/>
  <c r="E29" i="1" s="1"/>
  <c r="E32" i="1"/>
  <c r="S50" i="1"/>
  <c r="T84" i="1" s="1"/>
  <c r="F31" i="1"/>
  <c r="F32" i="1"/>
  <c r="P13" i="1"/>
  <c r="P76" i="1" s="1"/>
  <c r="R37" i="1"/>
  <c r="Q37" i="1"/>
  <c r="Q25" i="1"/>
  <c r="R25" i="1"/>
  <c r="F34" i="1" l="1"/>
  <c r="G35" i="1" s="1"/>
  <c r="S13" i="1"/>
  <c r="S76" i="1" s="1"/>
  <c r="F30" i="1"/>
  <c r="R61" i="1"/>
  <c r="Q61" i="1"/>
  <c r="E30" i="1"/>
  <c r="E34" i="1"/>
  <c r="H36" i="1" s="1"/>
  <c r="D27" i="1"/>
  <c r="D29" i="1" s="1"/>
  <c r="P75" i="1" s="1"/>
  <c r="P87" i="1"/>
  <c r="R10" i="1"/>
  <c r="Q10" i="1"/>
  <c r="R85" i="1" l="1"/>
  <c r="C62" i="1"/>
  <c r="C64" i="1" s="1"/>
  <c r="Q78" i="1"/>
  <c r="Q85" i="1"/>
  <c r="F36" i="1"/>
  <c r="I36" i="1"/>
  <c r="F35" i="1"/>
  <c r="E36" i="1"/>
  <c r="D30" i="1"/>
  <c r="D31" i="1" s="1"/>
  <c r="D34" i="1"/>
  <c r="E62" i="1"/>
  <c r="E64" i="1" s="1"/>
  <c r="Q73" i="1" s="1"/>
  <c r="F62" i="1"/>
  <c r="F64" i="1" s="1"/>
  <c r="R73" i="1" s="1"/>
  <c r="Q49" i="1"/>
  <c r="R49" i="1"/>
  <c r="Q56" i="1"/>
  <c r="R56" i="1"/>
  <c r="R6" i="1"/>
  <c r="Q6" i="1"/>
  <c r="Q77" i="1" s="1"/>
  <c r="Q69" i="1" l="1"/>
  <c r="Q72" i="1" s="1"/>
  <c r="Q75" i="1"/>
  <c r="R69" i="1"/>
  <c r="R72" i="1" s="1"/>
  <c r="R75" i="1"/>
  <c r="R78" i="1"/>
  <c r="R77" i="1"/>
  <c r="E31" i="1"/>
  <c r="G36" i="1"/>
  <c r="D35" i="1"/>
  <c r="E35" i="1"/>
  <c r="Q60" i="1"/>
  <c r="R60" i="1"/>
  <c r="R13" i="1"/>
  <c r="R76" i="1" s="1"/>
  <c r="R50" i="1"/>
  <c r="S84" i="1" s="1"/>
  <c r="Q13" i="1"/>
  <c r="Q76" i="1" s="1"/>
  <c r="Q50" i="1"/>
  <c r="Q12" i="1"/>
  <c r="R12" i="1"/>
  <c r="R84" i="1" l="1"/>
  <c r="Q84" i="1"/>
  <c r="R87" i="1"/>
  <c r="Q87" i="1"/>
  <c r="J62" i="1" l="1"/>
  <c r="J64" i="1" s="1"/>
  <c r="V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<sst xmlns="http://schemas.openxmlformats.org/spreadsheetml/2006/main" count="268" uniqueCount="171">
  <si>
    <t>Kriti Industries (India) Ltd.</t>
  </si>
  <si>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</si>
  <si>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</si>
  <si>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</si>
  <si>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</si>
  <si>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</si>
  <si>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</si>
  <si>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</si>
  <si>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</si>
  <si>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</si>
  <si>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</si>
  <si>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</si>
  <si>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</si>
  <si>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</si>
  <si>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</si>
  <si>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</si>
  <si>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</si>
  <si>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</si>
  <si>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</si>
  <si>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</si>
  <si>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</si>
  <si>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</si>
  <si>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</si>
  <si>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</si>
  <si>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</si>
  <si>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</si>
  <si>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</si>
  <si>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Deferred Tax Liability (Net)</t>
  </si>
  <si>
    <t>TOTAL ASSETS</t>
  </si>
  <si>
    <t>TOTAL LIABILITIES</t>
  </si>
  <si>
    <t>Total Loans</t>
  </si>
  <si>
    <t>Other Non Current liabilities</t>
  </si>
  <si>
    <t>Lease Liability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</si>
  <si>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</si>
  <si>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</si>
  <si>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</si>
  <si>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</si>
  <si>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</si>
  <si>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</si>
  <si>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</si>
  <si>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</si>
  <si>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</si>
  <si>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</si>
  <si>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</si>
  <si>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</si>
  <si>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</si>
  <si>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</si>
  <si>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</si>
  <si>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</si>
  <si>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</si>
  <si>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</si>
  <si>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</si>
  <si>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</si>
  <si>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</si>
  <si>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</si>
  <si>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</si>
  <si>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</si>
  <si>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</si>
  <si>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</si>
  <si>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</si>
  <si>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</si>
  <si>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</si>
  <si>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</si>
  <si>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</si>
  <si>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</si>
  <si>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</si>
  <si>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</si>
  <si>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</si>
  <si>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</si>
  <si>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</si>
  <si>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</si>
  <si>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</si>
  <si>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</si>
  <si>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</si>
  <si>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</si>
  <si>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</si>
  <si>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</si>
  <si>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</si>
  <si>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</si>
  <si>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</si>
  <si>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</si>
  <si>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</si>
  <si>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</si>
  <si>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</si>
  <si>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</si>
  <si>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</si>
  <si>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</si>
  <si>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</si>
  <si>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</si>
  <si>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</si>
  <si>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</si>
  <si>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</si>
  <si>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</si>
  <si>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</si>
  <si>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</si>
  <si>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</si>
  <si>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</si>
  <si>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</si>
  <si>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</si>
  <si>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</si>
  <si>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</si>
  <si>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</si>
  <si>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</si>
  <si>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</si>
  <si>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</si>
  <si>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</si>
  <si>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</si>
  <si>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</si>
  <si>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</si>
  <si>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</si>
  <si>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</si>
  <si>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</si>
  <si>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</si>
  <si>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</si>
  <si>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</si>
  <si>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</si>
  <si>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</si>
  <si>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</si>
  <si>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</si>
  <si>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</si>
  <si>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</si>
  <si>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</si>
  <si>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</si>
  <si>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</si>
  <si>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</si>
  <si>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</si>
  <si>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</si>
  <si>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</si>
  <si>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</si>
  <si>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</si>
  <si>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</si>
  <si>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</si>
  <si>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</si>
  <si>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</si>
  <si>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</si>
  <si>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</si>
  <si>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</si>
  <si>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</si>
  <si>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</si>
  <si>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</si>
  <si>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</si>
  <si>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</si>
  <si>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</si>
  <si>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</si>
  <si>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</si>
  <si>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</si>
  <si>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</si>
  <si>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</si>
  <si>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</si>
  <si>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</si>
  <si>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</si>
  <si>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</si>
  <si>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</si>
  <si>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</si>
  <si>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</si>
  <si>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Share in Net Profit /(loss) of Associate</t>
  </si>
  <si>
    <t>FY23</t>
  </si>
  <si>
    <t xml:space="preserve"> FY23</t>
  </si>
  <si>
    <t>Income tax assets (Net)</t>
  </si>
  <si>
    <t>Borrowings</t>
  </si>
  <si>
    <t>Provision</t>
  </si>
  <si>
    <t>FY24</t>
  </si>
  <si>
    <t>cliab</t>
  </si>
  <si>
    <t>equity</t>
  </si>
  <si>
    <t>l liab</t>
  </si>
  <si>
    <t xml:space="preserve">FY25 </t>
  </si>
  <si>
    <t>FY25</t>
  </si>
  <si>
    <t xml:space="preserve">H1-FY26 </t>
  </si>
  <si>
    <t>H1-FY26</t>
  </si>
  <si>
    <t xml:space="preserve">NA 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</si>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</sst>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173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1" xfId="1" applyFont="1" applyBorder="1"/>
    <xf numFmtId="43" fontId="3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43" fontId="2" fillId="0" borderId="0" xfId="1" applyFont="1" applyBorder="1"/>
    <xf numFmtId="165" fontId="7" fillId="6" borderId="0" xfId="2" applyNumberFormat="1" applyFont="1" applyFill="1" applyBorder="1"/>
    <xf numFmtId="43" fontId="7" fillId="6" borderId="0" xfId="1" applyFont="1" applyFill="1" applyBorder="1"/>
    <xf numFmtId="43" fontId="3" fillId="6" borderId="0" xfId="1" applyFont="1" applyFill="1" applyBorder="1"/>
    <xf numFmtId="43" fontId="3" fillId="4" borderId="1" xfId="1" applyFont="1" applyFill="1" applyBorder="1"/>
    <xf numFmtId="0" fontId="13" fillId="0" borderId="0" xfId="0" applyFont="1"/>
    <xf numFmtId="0" fontId="0" fillId="8" borderId="0" xfId="0" applyFill="1" applyAlignment="1">
      <alignment vertical="top"/>
    </xf>
    <xf numFmtId="0" fontId="6" fillId="8" borderId="0" xfId="0" applyFont="1" applyFill="1" applyAlignment="1">
      <alignment vertical="top"/>
    </xf>
    <xf numFmtId="165" fontId="0" fillId="8" borderId="2" xfId="2" applyNumberFormat="1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168" fontId="0" fillId="0" borderId="2" xfId="0" applyNumberFormat="1" applyBorder="1" applyAlignment="1">
      <alignment vertical="top"/>
    </xf>
    <xf numFmtId="168" fontId="0" fillId="7" borderId="2" xfId="0" applyNumberFormat="1" applyFill="1" applyBorder="1" applyAlignment="1">
      <alignment vertical="top"/>
    </xf>
    <xf numFmtId="0" fontId="3" fillId="8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8" borderId="2" xfId="0" applyFont="1" applyFill="1" applyBorder="1" applyAlignment="1">
      <alignment vertical="top"/>
    </xf>
    <xf numFmtId="165" fontId="0" fillId="8" borderId="2" xfId="0" applyNumberFormat="1" applyFill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3" fillId="8" borderId="0" xfId="0" applyFont="1" applyFill="1" applyAlignment="1">
      <alignment vertical="top"/>
    </xf>
    <xf numFmtId="43" fontId="3" fillId="8" borderId="2" xfId="3" applyFont="1" applyFill="1" applyBorder="1" applyAlignment="1">
      <alignment vertical="top"/>
    </xf>
    <xf numFmtId="43" fontId="3" fillId="0" borderId="2" xfId="3" applyFont="1" applyFill="1" applyBorder="1" applyAlignment="1">
      <alignment vertical="top"/>
    </xf>
    <xf numFmtId="166" fontId="0" fillId="0" borderId="2" xfId="3" applyNumberFormat="1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164" fontId="2" fillId="0" borderId="2" xfId="5" applyFont="1" applyFill="1" applyBorder="1" applyAlignment="1">
      <alignment vertical="top"/>
    </xf>
    <xf numFmtId="0" fontId="0" fillId="7" borderId="2" xfId="0" applyFill="1" applyBorder="1" applyAlignment="1">
      <alignment vertical="top"/>
    </xf>
    <xf numFmtId="164" fontId="0" fillId="0" borderId="2" xfId="5" applyFont="1" applyFill="1" applyBorder="1" applyAlignment="1">
      <alignment vertical="top"/>
    </xf>
    <xf numFmtId="0" fontId="0" fillId="8" borderId="2" xfId="0" applyFill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0" fontId="3" fillId="8" borderId="2" xfId="2" applyNumberFormat="1" applyFont="1" applyFill="1" applyBorder="1" applyAlignment="1">
      <alignment vertical="top"/>
    </xf>
    <xf numFmtId="10" fontId="3" fillId="0" borderId="2" xfId="2" applyNumberFormat="1" applyFont="1" applyFill="1" applyBorder="1" applyAlignment="1">
      <alignment vertical="top"/>
    </xf>
    <xf numFmtId="165" fontId="6" fillId="8" borderId="2" xfId="2" applyNumberFormat="1" applyFont="1" applyFill="1" applyBorder="1" applyAlignment="1">
      <alignment vertical="top"/>
    </xf>
    <xf numFmtId="165" fontId="6" fillId="0" borderId="2" xfId="2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2" xfId="3" applyNumberFormat="1" applyFont="1" applyFill="1" applyBorder="1" applyAlignment="1">
      <alignment vertical="top"/>
    </xf>
    <xf numFmtId="164" fontId="3" fillId="0" borderId="2" xfId="3" applyNumberFormat="1" applyFont="1" applyFill="1" applyBorder="1" applyAlignment="1">
      <alignment vertical="top"/>
    </xf>
    <xf numFmtId="164" fontId="0" fillId="8" borderId="2" xfId="3" applyNumberFormat="1" applyFont="1" applyFill="1" applyBorder="1" applyAlignment="1">
      <alignment vertical="top"/>
    </xf>
    <xf numFmtId="164" fontId="0" fillId="0" borderId="2" xfId="3" applyNumberFormat="1" applyFont="1" applyFill="1" applyBorder="1" applyAlignment="1">
      <alignment vertical="top"/>
    </xf>
    <xf numFmtId="0" fontId="14" fillId="8" borderId="2" xfId="0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5" fillId="9" borderId="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top"/>
    </xf>
    <xf numFmtId="0" fontId="3" fillId="10" borderId="2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3" fillId="6" borderId="0" xfId="1" applyFont="1" applyFill="1" applyBorder="1" applyAlignment="1">
      <alignment horizontal="center"/>
    </xf>
    <xf numFmtId="43" fontId="0" fillId="0" borderId="0" xfId="1" applyFont="1" applyFill="1"/>
    <xf numFmtId="165" fontId="7" fillId="0" borderId="0" xfId="2" applyNumberFormat="1" applyFont="1" applyFill="1" applyBorder="1"/>
    <xf numFmtId="43" fontId="2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3" fillId="0" borderId="0" xfId="1" applyFont="1" applyFill="1"/>
    <xf numFmtId="10" fontId="7" fillId="0" borderId="0" xfId="2" applyNumberFormat="1" applyFont="1" applyFill="1"/>
    <xf numFmtId="43" fontId="3" fillId="0" borderId="0" xfId="1" applyFont="1" applyFill="1" applyBorder="1"/>
    <xf numFmtId="43" fontId="0" fillId="0" borderId="0" xfId="1" applyFont="1" applyFill="1" applyBorder="1"/>
    <xf numFmtId="165" fontId="7" fillId="0" borderId="0" xfId="2" applyNumberFormat="1" applyFont="1" applyFill="1"/>
    <xf numFmtId="43" fontId="3" fillId="0" borderId="0" xfId="1" applyFont="1" applyFill="1" applyBorder="1" applyAlignment="1">
      <alignment horizontal="center"/>
    </xf>
    <xf numFmtId="164" fontId="0" fillId="0" borderId="0" xfId="0" applyNumberFormat="1"/>
    <xf numFmtId="43" fontId="3" fillId="4" borderId="0" xfId="1" applyFont="1" applyFill="1" applyBorder="1"/>
    <xf numFmtId="0" fontId="0" fillId="0" borderId="0" xfId="0" applyAlignment="1">
      <alignment horizontal="center"/>
    </xf>
    <xf numFmtId="0" fontId="0" fillId="0" borderId="6" xfId="0" applyBorder="1"/>
    <xf numFmtId="43" fontId="0" fillId="0" borderId="7" xfId="1" applyFont="1" applyBorder="1"/>
    <xf numFmtId="0" fontId="0" fillId="6" borderId="6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8" xfId="0" applyFill="1" applyBorder="1"/>
    <xf numFmtId="43" fontId="0" fillId="6" borderId="9" xfId="1" applyFont="1" applyFill="1" applyBorder="1"/>
    <xf numFmtId="0" fontId="3" fillId="4" borderId="6" xfId="0" applyFont="1" applyFill="1" applyBorder="1"/>
    <xf numFmtId="0" fontId="3" fillId="0" borderId="6" xfId="0" applyFont="1" applyBorder="1"/>
    <xf numFmtId="43" fontId="3" fillId="4" borderId="7" xfId="1" applyFont="1" applyFill="1" applyBorder="1"/>
    <xf numFmtId="0" fontId="5" fillId="0" borderId="6" xfId="0" applyFont="1" applyBorder="1"/>
    <xf numFmtId="0" fontId="4" fillId="0" borderId="6" xfId="0" applyFont="1" applyBorder="1"/>
    <xf numFmtId="0" fontId="0" fillId="0" borderId="6" xfId="0" applyBorder="1" applyAlignment="1">
      <alignment horizontal="left" indent="1"/>
    </xf>
    <xf numFmtId="43" fontId="3" fillId="4" borderId="11" xfId="1" applyFont="1" applyFill="1" applyBorder="1"/>
    <xf numFmtId="43" fontId="3" fillId="0" borderId="11" xfId="1" applyFont="1" applyBorder="1"/>
    <xf numFmtId="0" fontId="3" fillId="4" borderId="8" xfId="0" applyFont="1" applyFill="1" applyBorder="1"/>
    <xf numFmtId="43" fontId="3" fillId="4" borderId="9" xfId="1" applyFont="1" applyFill="1" applyBorder="1"/>
    <xf numFmtId="0" fontId="7" fillId="6" borderId="6" xfId="0" applyFont="1" applyFill="1" applyBorder="1"/>
    <xf numFmtId="10" fontId="7" fillId="6" borderId="0" xfId="2" applyNumberFormat="1" applyFont="1" applyFill="1" applyBorder="1"/>
    <xf numFmtId="43" fontId="8" fillId="6" borderId="0" xfId="1" applyFont="1" applyFill="1" applyBorder="1"/>
    <xf numFmtId="0" fontId="0" fillId="0" borderId="6" xfId="0" applyBorder="1" applyAlignment="1">
      <alignment horizontal="left"/>
    </xf>
    <xf numFmtId="0" fontId="3" fillId="6" borderId="6" xfId="0" applyFont="1" applyFill="1" applyBorder="1"/>
    <xf numFmtId="0" fontId="0" fillId="12" borderId="6" xfId="0" applyFill="1" applyBorder="1"/>
    <xf numFmtId="43" fontId="0" fillId="0" borderId="0" xfId="1" applyFont="1" applyBorder="1" applyAlignment="1">
      <alignment horizontal="right"/>
    </xf>
    <xf numFmtId="43" fontId="12" fillId="6" borderId="0" xfId="1" applyFont="1" applyFill="1" applyBorder="1"/>
    <xf numFmtId="0" fontId="3" fillId="4" borderId="12" xfId="0" applyFont="1" applyFill="1" applyBorder="1"/>
    <xf numFmtId="43" fontId="3" fillId="12" borderId="0" xfId="1" applyFont="1" applyFill="1" applyBorder="1"/>
    <xf numFmtId="0" fontId="7" fillId="6" borderId="8" xfId="0" applyFont="1" applyFill="1" applyBorder="1"/>
    <xf numFmtId="43" fontId="7" fillId="6" borderId="9" xfId="1" applyFont="1" applyFill="1" applyBorder="1"/>
    <xf numFmtId="165" fontId="7" fillId="6" borderId="9" xfId="2" applyNumberFormat="1" applyFont="1" applyFill="1" applyBorder="1"/>
    <xf numFmtId="43" fontId="2" fillId="8" borderId="0" xfId="1" applyFont="1" applyFill="1" applyBorder="1"/>
    <xf numFmtId="0" fontId="0" fillId="0" borderId="15" xfId="0" applyBorder="1"/>
    <xf numFmtId="43" fontId="3" fillId="4" borderId="2" xfId="1" applyFont="1" applyFill="1" applyBorder="1"/>
    <xf numFmtId="43" fontId="6" fillId="6" borderId="0" xfId="1" applyFont="1" applyFill="1" applyBorder="1" applyAlignment="1">
      <alignment horizontal="right"/>
    </xf>
    <xf numFmtId="43" fontId="6" fillId="6" borderId="0" xfId="1" applyFont="1" applyFill="1" applyBorder="1"/>
    <xf numFmtId="43" fontId="6" fillId="0" borderId="0" xfId="1" applyFont="1" applyBorder="1"/>
    <xf numFmtId="0" fontId="0" fillId="11" borderId="6" xfId="0" applyFill="1" applyBorder="1"/>
    <xf numFmtId="43" fontId="0" fillId="11" borderId="0" xfId="1" applyFont="1" applyFill="1" applyBorder="1"/>
    <xf numFmtId="43" fontId="0" fillId="0" borderId="0" xfId="15" applyFont="1" applyFill="1" applyBorder="1"/>
    <xf numFmtId="43" fontId="3" fillId="0" borderId="0" xfId="15" applyFont="1" applyFill="1" applyBorder="1"/>
    <xf numFmtId="43" fontId="2" fillId="0" borderId="0" xfId="15" applyFont="1" applyFill="1" applyBorder="1"/>
    <xf numFmtId="165" fontId="7" fillId="6" borderId="7" xfId="2" applyNumberFormat="1" applyFont="1" applyFill="1" applyBorder="1"/>
    <xf numFmtId="43" fontId="0" fillId="0" borderId="7" xfId="1" applyFont="1" applyBorder="1" applyAlignment="1">
      <alignment horizontal="center"/>
    </xf>
    <xf numFmtId="43" fontId="2" fillId="0" borderId="7" xfId="1" applyFont="1" applyBorder="1"/>
    <xf numFmtId="10" fontId="7" fillId="6" borderId="7" xfId="2" applyNumberFormat="1" applyFont="1" applyFill="1" applyBorder="1"/>
    <xf numFmtId="43" fontId="3" fillId="6" borderId="7" xfId="1" applyFont="1" applyFill="1" applyBorder="1"/>
    <xf numFmtId="43" fontId="3" fillId="6" borderId="7" xfId="1" applyFont="1" applyFill="1" applyBorder="1" applyAlignment="1">
      <alignment horizontal="center"/>
    </xf>
    <xf numFmtId="43" fontId="3" fillId="12" borderId="7" xfId="1" applyFont="1" applyFill="1" applyBorder="1"/>
    <xf numFmtId="43" fontId="3" fillId="0" borderId="7" xfId="1" applyFont="1" applyBorder="1"/>
    <xf numFmtId="0" fontId="0" fillId="0" borderId="7" xfId="0" applyBorder="1"/>
    <xf numFmtId="165" fontId="7" fillId="6" borderId="10" xfId="2" applyNumberFormat="1" applyFont="1" applyFill="1" applyBorder="1"/>
    <xf numFmtId="43" fontId="0" fillId="0" borderId="7" xfId="1" applyFont="1" applyFill="1" applyBorder="1"/>
    <xf numFmtId="43" fontId="0" fillId="0" borderId="7" xfId="0" applyNumberFormat="1" applyBorder="1"/>
    <xf numFmtId="0" fontId="3" fillId="3" borderId="13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4" xfId="0" applyBorder="1"/>
    <xf numFmtId="0" fontId="0" fillId="0" borderId="9" xfId="0" applyBorder="1"/>
    <xf numFmtId="43" fontId="0" fillId="11" borderId="7" xfId="1" applyFont="1" applyFill="1" applyBorder="1"/>
    <xf numFmtId="43" fontId="2" fillId="14" borderId="0" xfId="18" applyNumberFormat="1" applyFont="1" applyBorder="1"/>
    <xf numFmtId="0" fontId="9" fillId="11" borderId="3" xfId="0" applyFont="1" applyFill="1" applyBorder="1" applyAlignment="1">
      <alignment horizontal="center" vertical="top"/>
    </xf>
    <xf numFmtId="0" fontId="9" fillId="11" borderId="4" xfId="0" applyFont="1" applyFill="1" applyBorder="1" applyAlignment="1">
      <alignment horizontal="center" vertical="top"/>
    </xf>
    <xf numFmtId="0" fontId="9" fillId="11" borderId="5" xfId="0" applyFont="1" applyFill="1" applyBorder="1" applyAlignment="1">
      <alignment horizontal="center" vertical="top"/>
    </xf>
    <xf numFmtId="0" fontId="15" fillId="9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3" fontId="0" fillId="0" borderId="7" xfId="1" applyFont="1" applyFill="1" applyBorder="1" applyAlignment="1">
      <alignment horizontal="right"/>
    </xf>
    <xf numFmtId="169" fontId="3" fillId="4" borderId="1" xfId="1" applyNumberFormat="1" applyFont="1" applyFill="1" applyBorder="1"/>
    <xf numFmtId="0" fontId="0" fillId="0" borderId="0" xfId="0" applyBorder="1"/>
    <xf numFmtId="43" fontId="2" fillId="8" borderId="7" xfId="1" applyFont="1" applyFill="1" applyBorder="1"/>
    <xf numFmtId="0" fontId="12" fillId="6" borderId="6" xfId="0" applyFont="1" applyFill="1" applyBorder="1"/>
    <xf numFmtId="43" fontId="12" fillId="6" borderId="7" xfId="1" applyFont="1" applyFill="1" applyBorder="1"/>
    <xf numFmtId="0" fontId="3" fillId="4" borderId="17" xfId="0" applyFont="1" applyFill="1" applyBorder="1"/>
    <xf numFmtId="43" fontId="3" fillId="4" borderId="18" xfId="1" applyFont="1" applyFill="1" applyBorder="1"/>
    <xf numFmtId="43" fontId="3" fillId="4" borderId="19" xfId="1" applyFont="1" applyFill="1" applyBorder="1"/>
    <xf numFmtId="43" fontId="2" fillId="14" borderId="7" xfId="18" applyNumberFormat="1" applyFont="1" applyBorder="1"/>
    <xf numFmtId="43" fontId="0" fillId="6" borderId="7" xfId="1" applyFont="1" applyFill="1" applyBorder="1"/>
    <xf numFmtId="43" fontId="3" fillId="13" borderId="18" xfId="17" applyNumberFormat="1" applyFont="1" applyBorder="1"/>
    <xf numFmtId="43" fontId="3" fillId="13" borderId="19" xfId="17" applyNumberFormat="1" applyFont="1" applyBorder="1"/>
    <xf numFmtId="43" fontId="6" fillId="6" borderId="7" xfId="1" applyFont="1" applyFill="1" applyBorder="1"/>
    <xf numFmtId="43" fontId="16" fillId="4" borderId="9" xfId="1" applyFont="1" applyFill="1" applyBorder="1"/>
    <xf numFmtId="43" fontId="16" fillId="4" borderId="10" xfId="1" applyFont="1" applyFill="1" applyBorder="1"/>
    <xf numFmtId="0" fontId="3" fillId="5" borderId="13" xfId="0" applyFont="1" applyFill="1" applyBorder="1"/>
    <xf numFmtId="0" fontId="3" fillId="0" borderId="13" xfId="0" applyFont="1" applyBorder="1"/>
    <xf numFmtId="43" fontId="0" fillId="0" borderId="0" xfId="0" applyNumberFormat="1" applyBorder="1"/>
    <xf numFmtId="0" fontId="3" fillId="4" borderId="12" xfId="0" applyFont="1" applyFill="1" applyBorder="1" applyAlignment="1">
      <alignment horizontal="left"/>
    </xf>
    <xf numFmtId="4" fontId="0" fillId="0" borderId="0" xfId="0" applyNumberFormat="1" applyBorder="1"/>
    <xf numFmtId="0" fontId="0" fillId="11" borderId="0" xfId="0" applyFill="1" applyBorder="1"/>
    <xf numFmtId="169" fontId="3" fillId="4" borderId="18" xfId="1" applyNumberFormat="1" applyFont="1" applyFill="1" applyBorder="1"/>
    <xf numFmtId="0" fontId="3" fillId="5" borderId="20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3" fontId="6" fillId="6" borderId="7" xfId="1" applyFont="1" applyFill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0" fillId="6" borderId="7" xfId="1" applyFont="1" applyFill="1" applyBorder="1" applyAlignment="1">
      <alignment horizontal="right"/>
    </xf>
    <xf numFmtId="10" fontId="0" fillId="6" borderId="7" xfId="2" applyNumberFormat="1" applyFont="1" applyFill="1" applyBorder="1" applyAlignment="1">
      <alignment horizontal="right"/>
    </xf>
    <xf numFmtId="10" fontId="0" fillId="6" borderId="10" xfId="2" applyNumberFormat="1" applyFont="1" applyFill="1" applyBorder="1" applyAlignment="1">
      <alignment horizontal="right"/>
    </xf>
    <xf numFmtId="0" fontId="0" fillId="2" borderId="0" xfId="0" applyFill="1" applyAlignment="1"/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</cellXfs>
  <cellStyles count="19">
    <cellStyle name="20% - Accent3" xfId="18" builtinId="38"/>
    <cellStyle name="40% - Accent1" xfId="17" builtinId="31"/>
    <cellStyle name="Comma" xfId="1" builtinId="3"/>
    <cellStyle name="Comma 2" xfId="3" xr:uid="{00000000-0005-0000-0000-000003000000}"/>
    <cellStyle name="Comma 2 2" xfId="4" xr:uid="{00000000-0005-0000-0000-000004000000}"/>
    <cellStyle name="Comma 2 2 2" xfId="8" xr:uid="{00000000-0005-0000-0000-000005000000}"/>
    <cellStyle name="Comma 2 2 2 2" xfId="15" xr:uid="{00000000-0005-0000-0000-000006000000}"/>
    <cellStyle name="Comma 2 2 3" xfId="12" xr:uid="{00000000-0005-0000-0000-000007000000}"/>
    <cellStyle name="Comma 2 3" xfId="7" xr:uid="{00000000-0005-0000-0000-000008000000}"/>
    <cellStyle name="Comma 2 3 2" xfId="14" xr:uid="{00000000-0005-0000-0000-000009000000}"/>
    <cellStyle name="Comma 2 4" xfId="11" xr:uid="{00000000-0005-0000-0000-00000A000000}"/>
    <cellStyle name="Comma 3" xfId="5" xr:uid="{00000000-0005-0000-0000-00000B000000}"/>
    <cellStyle name="Comma 3 2" xfId="9" xr:uid="{00000000-0005-0000-0000-00000C000000}"/>
    <cellStyle name="Comma 3 2 2" xfId="16" xr:uid="{00000000-0005-0000-0000-00000D000000}"/>
    <cellStyle name="Comma 4" xfId="6" xr:uid="{00000000-0005-0000-0000-00000E000000}"/>
    <cellStyle name="Comma 4 2" xfId="13" xr:uid="{00000000-0005-0000-0000-00000F000000}"/>
    <cellStyle name="Comma 5" xfId="10" xr:uid="{00000000-0005-0000-0000-000010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/>
  <cols>
    <col min="1" max="1" width="25.44140625" style="15" customWidth="1"/>
    <col min="2" max="3" width="14.6640625" style="15" customWidth="1"/>
    <col min="4" max="5" width="14.6640625" style="16" customWidth="1"/>
    <col min="6" max="7" width="14.6640625" style="15" customWidth="1"/>
    <col min="8" max="16384" width="9.109375" style="15"/>
  </cols>
  <sheetData>
    <row r="1" spans="1:7" s="7" customFormat="1" ht="18">
      <c r="A1" s="132" t="s">
        <v>151</v>
      </c>
      <c r="B1" s="133"/>
      <c r="C1" s="133"/>
      <c r="D1" s="133"/>
      <c r="E1" s="133"/>
      <c r="F1" s="134"/>
      <c r="G1" s="52"/>
    </row>
    <row r="2" spans="1:7" s="50" customFormat="1">
      <c r="A2" s="135" t="s">
        <v>150</v>
      </c>
      <c r="B2" s="53" t="s">
        <v>113</v>
      </c>
      <c r="C2" s="53" t="s">
        <v>114</v>
      </c>
      <c r="D2" s="53" t="s">
        <v>115</v>
      </c>
      <c r="E2" s="53" t="s">
        <v>116</v>
      </c>
      <c r="F2" s="53" t="s">
        <v>117</v>
      </c>
      <c r="G2" s="53" t="s">
        <v>118</v>
      </c>
    </row>
    <row r="3" spans="1:7" s="50" customFormat="1" ht="15.6">
      <c r="A3" s="135"/>
      <c r="B3" s="51" t="s">
        <v>152</v>
      </c>
      <c r="C3" s="51" t="s">
        <v>152</v>
      </c>
      <c r="D3" s="51" t="s">
        <v>152</v>
      </c>
      <c r="E3" s="51" t="s">
        <v>152</v>
      </c>
      <c r="F3" s="51" t="s">
        <v>152</v>
      </c>
      <c r="G3" s="51" t="s">
        <v>152</v>
      </c>
    </row>
    <row r="4" spans="1:7" ht="15.6">
      <c r="A4" s="23" t="s">
        <v>149</v>
      </c>
      <c r="B4" s="49"/>
      <c r="C4" s="48"/>
      <c r="D4" s="47"/>
      <c r="E4" s="47"/>
      <c r="F4" s="47"/>
      <c r="G4" s="47"/>
    </row>
    <row r="5" spans="1:7">
      <c r="A5" s="23" t="s">
        <v>112</v>
      </c>
      <c r="B5" s="8"/>
      <c r="C5" s="18"/>
      <c r="D5" s="25"/>
      <c r="E5" s="25"/>
      <c r="F5" s="25"/>
      <c r="G5" s="25"/>
    </row>
    <row r="6" spans="1:7">
      <c r="A6" s="18" t="s">
        <v>148</v>
      </c>
      <c r="B6" s="46" t="e">
        <f>#REF!*10</f>
        <v>#REF!</v>
      </c>
      <c r="C6" s="45">
        <f>'[1]Peer Analysis working '!C5*10</f>
        <v>49222</v>
      </c>
      <c r="D6" s="45">
        <f>'[1]Peer Analysis working '!D5*10</f>
        <v>67286</v>
      </c>
      <c r="E6" s="45">
        <f>'[1]Peer Analysis working '!E5*10</f>
        <v>56892</v>
      </c>
      <c r="F6" s="45">
        <f>'[1]Peer Analysis working '!F5*10</f>
        <v>442740</v>
      </c>
      <c r="G6" s="45"/>
    </row>
    <row r="7" spans="1:7">
      <c r="A7" s="18" t="s">
        <v>145</v>
      </c>
      <c r="B7" s="41">
        <f>'[1]Peer Analysis working '!B7</f>
        <v>6.6957261377430521E-2</v>
      </c>
      <c r="C7" s="40">
        <f>'[1]Peer Analysis working '!C7</f>
        <v>1.7483450932637146E-2</v>
      </c>
      <c r="D7" s="40">
        <f>'[1]Peer Analysis working '!D7</f>
        <v>0.11395326030791875</v>
      </c>
      <c r="E7" s="40">
        <f>'[1]Peer Analysis working '!E7</f>
        <v>8.1957653928725893E-2</v>
      </c>
      <c r="F7" s="40">
        <f>'[1]Peer Analysis working '!F7</f>
        <v>7.2805272529955722E-2</v>
      </c>
      <c r="G7" s="40"/>
    </row>
    <row r="8" spans="1:7" s="28" customFormat="1">
      <c r="A8" s="23" t="s">
        <v>51</v>
      </c>
      <c r="B8" s="44">
        <f>'[1]Peer Analysis working '!B12*10</f>
        <v>2337.6000000000022</v>
      </c>
      <c r="C8" s="43">
        <f>'[1]Peer Analysis working '!C12*10</f>
        <v>8747</v>
      </c>
      <c r="D8" s="43">
        <f>'[1]Peer Analysis working '!D12*10</f>
        <v>9330</v>
      </c>
      <c r="E8" s="43">
        <f>'[1]Peer Analysis working '!E12*10</f>
        <v>9779</v>
      </c>
      <c r="F8" s="43">
        <f>'[1]Peer Analysis working '!F12*10</f>
        <v>54890</v>
      </c>
      <c r="G8" s="43"/>
    </row>
    <row r="9" spans="1:7">
      <c r="A9" s="18" t="s">
        <v>145</v>
      </c>
      <c r="B9" s="41">
        <f>'[1]Peer Analysis working '!B14</f>
        <v>0.27796799337795663</v>
      </c>
      <c r="C9" s="40">
        <f>'[1]Peer Analysis working '!C14</f>
        <v>0.20517447704828018</v>
      </c>
      <c r="D9" s="40">
        <f>'[1]Peer Analysis working '!D14</f>
        <v>0.33549630488669613</v>
      </c>
      <c r="E9" s="40">
        <f>'[1]Peer Analysis working '!E14</f>
        <v>-2.4487478418460316</v>
      </c>
      <c r="F9" s="40">
        <f>'[1]Peer Analysis working '!F14</f>
        <v>5.7989028682093879E-2</v>
      </c>
      <c r="G9" s="40"/>
    </row>
    <row r="10" spans="1:7" s="28" customFormat="1">
      <c r="A10" s="23" t="s">
        <v>147</v>
      </c>
      <c r="B10" s="39" t="e">
        <f>+B8/B$6</f>
        <v>#REF!</v>
      </c>
      <c r="C10" s="39">
        <f>+C8/C$6</f>
        <v>0.17770509121937345</v>
      </c>
      <c r="D10" s="39">
        <f>+D8/D$6</f>
        <v>0.13866183158457926</v>
      </c>
      <c r="E10" s="39">
        <f>+E8/E$6</f>
        <v>0.17188708430007735</v>
      </c>
      <c r="F10" s="39">
        <f>+F8/F$6</f>
        <v>0.12397795545918598</v>
      </c>
      <c r="G10" s="39"/>
    </row>
    <row r="11" spans="1:7" s="28" customFormat="1">
      <c r="A11" s="23" t="s">
        <v>146</v>
      </c>
      <c r="B11" s="37">
        <f>'[1]Peer Analysis working '!B25*10</f>
        <v>623.77000000000226</v>
      </c>
      <c r="C11" s="42">
        <f>'[1]Peer Analysis working '!C25*10</f>
        <v>7883</v>
      </c>
      <c r="D11" s="42">
        <f>'[1]Peer Analysis working '!D25*10</f>
        <v>2960</v>
      </c>
      <c r="E11" s="42">
        <f>'[1]Peer Analysis working '!E25*10</f>
        <v>997</v>
      </c>
      <c r="F11" s="42">
        <f>'[1]Peer Analysis working '!F25*10</f>
        <v>34510</v>
      </c>
      <c r="G11" s="42"/>
    </row>
    <row r="12" spans="1:7">
      <c r="A12" s="18" t="s">
        <v>145</v>
      </c>
      <c r="B12" s="41">
        <f>'[1]Peer Analysis working '!B27</f>
        <v>0.15020466640116381</v>
      </c>
      <c r="C12" s="40">
        <f>'[1]Peer Analysis working '!C27</f>
        <v>-2.3617924740187757E-2</v>
      </c>
      <c r="D12" s="40">
        <f>'[1]Peer Analysis working '!D27</f>
        <v>0.2798301533370493</v>
      </c>
      <c r="E12" s="40">
        <f>'[1]Peer Analysis working '!E27</f>
        <v>-1.7739968460390942E-2</v>
      </c>
      <c r="F12" s="40">
        <f>'[1]Peer Analysis working '!F27</f>
        <v>1.3492351397157654E-2</v>
      </c>
      <c r="G12" s="40"/>
    </row>
    <row r="13" spans="1:7">
      <c r="A13" s="23" t="s">
        <v>144</v>
      </c>
      <c r="B13" s="39" t="e">
        <f>+B11/B$6</f>
        <v>#REF!</v>
      </c>
      <c r="C13" s="38">
        <f>+C11/C$6</f>
        <v>0.1601519645686888</v>
      </c>
      <c r="D13" s="38">
        <f>+D11/D$6</f>
        <v>4.3991320631334901E-2</v>
      </c>
      <c r="E13" s="38">
        <f>+E11/E$6</f>
        <v>1.7524432257610911E-2</v>
      </c>
      <c r="F13" s="38">
        <f>+F11/F$6</f>
        <v>7.7946424538103631E-2</v>
      </c>
      <c r="G13" s="38"/>
    </row>
    <row r="14" spans="1:7">
      <c r="A14" s="18" t="s">
        <v>60</v>
      </c>
      <c r="B14" s="19">
        <f>'[1]Peer Analysis working '!B29</f>
        <v>3.76</v>
      </c>
      <c r="C14" s="19">
        <f>'[1]Peer Analysis working '!C29</f>
        <v>52.21</v>
      </c>
      <c r="D14" s="19">
        <f>'[1]Peer Analysis working '!D29</f>
        <v>7.83</v>
      </c>
      <c r="E14" s="19">
        <f>'[1]Peer Analysis working '!E29</f>
        <v>3.26</v>
      </c>
      <c r="F14" s="19">
        <f>'[1]Peer Analysis working '!F29</f>
        <v>31.37</v>
      </c>
      <c r="G14" s="19"/>
    </row>
    <row r="15" spans="1:7">
      <c r="A15" s="18"/>
      <c r="B15" s="8"/>
      <c r="C15" s="18"/>
      <c r="D15" s="25"/>
      <c r="E15" s="25"/>
      <c r="F15" s="18"/>
      <c r="G15" s="18"/>
    </row>
    <row r="16" spans="1:7">
      <c r="A16" s="18"/>
      <c r="B16" s="8"/>
      <c r="C16" s="18"/>
      <c r="D16" s="25"/>
      <c r="E16" s="25"/>
      <c r="F16" s="18"/>
      <c r="G16" s="18"/>
    </row>
    <row r="17" spans="1:7">
      <c r="A17" s="23" t="s">
        <v>143</v>
      </c>
      <c r="B17" s="24"/>
      <c r="C17" s="23"/>
      <c r="D17" s="23"/>
      <c r="E17" s="23"/>
      <c r="F17" s="23"/>
      <c r="G17" s="23"/>
    </row>
    <row r="18" spans="1:7" s="28" customFormat="1">
      <c r="A18" s="23" t="s">
        <v>142</v>
      </c>
      <c r="B18" s="37">
        <f>'[1]Peer Analysis working '!I5*10</f>
        <v>6806.94</v>
      </c>
      <c r="C18" s="37">
        <f>'[1]Peer Analysis working '!J5*10</f>
        <v>47546</v>
      </c>
      <c r="D18" s="37">
        <f>'[1]Peer Analysis working '!K5*10</f>
        <v>31513</v>
      </c>
      <c r="E18" s="37">
        <f>'[1]Peer Analysis working '!L5*10</f>
        <v>60583</v>
      </c>
      <c r="F18" s="37">
        <f>'[1]Peer Analysis working '!M5*10</f>
        <v>256090</v>
      </c>
      <c r="G18" s="37"/>
    </row>
    <row r="19" spans="1:7" s="28" customFormat="1">
      <c r="A19" s="23" t="s">
        <v>81</v>
      </c>
      <c r="B19" s="37">
        <f>SUM(B20:B21)</f>
        <v>1806.12</v>
      </c>
      <c r="C19" s="37">
        <f>SUM(C20:C21)</f>
        <v>0</v>
      </c>
      <c r="D19" s="37">
        <f>SUM(D20:D21)</f>
        <v>12219</v>
      </c>
      <c r="E19" s="37">
        <f>SUM(E20:E21)</f>
        <v>9292</v>
      </c>
      <c r="F19" s="37">
        <f>SUM(F20:F21)</f>
        <v>37380</v>
      </c>
      <c r="G19" s="37"/>
    </row>
    <row r="20" spans="1:7">
      <c r="A20" s="36" t="s">
        <v>141</v>
      </c>
      <c r="B20" s="19">
        <f>'[1]Peer Analysis working '!I6*10</f>
        <v>0</v>
      </c>
      <c r="C20" s="19">
        <f>'[1]Peer Analysis working '!J6*10</f>
        <v>0</v>
      </c>
      <c r="D20" s="19">
        <f>'[1]Peer Analysis working '!K6*10</f>
        <v>3893</v>
      </c>
      <c r="E20" s="19">
        <f>'[1]Peer Analysis working '!L6*10</f>
        <v>667</v>
      </c>
      <c r="F20" s="19">
        <f>'[1]Peer Analysis working '!M6*10</f>
        <v>8590</v>
      </c>
      <c r="G20" s="19"/>
    </row>
    <row r="21" spans="1:7">
      <c r="A21" s="36" t="s">
        <v>140</v>
      </c>
      <c r="B21" s="19">
        <f>'[1]Peer Analysis working '!I7*10</f>
        <v>1806.12</v>
      </c>
      <c r="C21" s="19">
        <f>'[1]Peer Analysis working '!J7*10</f>
        <v>0</v>
      </c>
      <c r="D21" s="19">
        <f>'[1]Peer Analysis working '!K7*10</f>
        <v>8326</v>
      </c>
      <c r="E21" s="19">
        <f>'[1]Peer Analysis working '!L7*10</f>
        <v>8625</v>
      </c>
      <c r="F21" s="19">
        <f>'[1]Peer Analysis working '!M7*10</f>
        <v>28790</v>
      </c>
      <c r="G21" s="19"/>
    </row>
    <row r="22" spans="1:7">
      <c r="A22" s="18"/>
      <c r="B22" s="8"/>
      <c r="C22" s="18"/>
      <c r="D22" s="25"/>
      <c r="E22" s="25"/>
      <c r="F22" s="18"/>
      <c r="G22" s="18"/>
    </row>
    <row r="23" spans="1:7">
      <c r="A23" s="23" t="s">
        <v>139</v>
      </c>
      <c r="B23" s="24"/>
      <c r="C23" s="23"/>
      <c r="D23" s="23"/>
      <c r="E23" s="23"/>
      <c r="F23" s="23"/>
      <c r="G23" s="23"/>
    </row>
    <row r="24" spans="1:7">
      <c r="A24" s="34" t="s">
        <v>138</v>
      </c>
      <c r="B24" s="35"/>
      <c r="C24" s="18"/>
      <c r="D24" s="18"/>
      <c r="E24" s="18"/>
      <c r="F24" s="18"/>
      <c r="G24" s="18"/>
    </row>
    <row r="25" spans="1:7">
      <c r="A25" s="34" t="s">
        <v>79</v>
      </c>
      <c r="B25" s="33"/>
      <c r="C25" s="18"/>
      <c r="D25" s="18"/>
      <c r="E25" s="18"/>
      <c r="F25" s="18"/>
      <c r="G25" s="18"/>
    </row>
    <row r="26" spans="1:7" s="7" customFormat="1">
      <c r="A26" s="8"/>
      <c r="B26" s="8"/>
      <c r="C26" s="8"/>
      <c r="D26" s="32"/>
      <c r="E26" s="32"/>
      <c r="F26" s="32"/>
      <c r="G26" s="32"/>
    </row>
    <row r="27" spans="1:7" s="7" customFormat="1">
      <c r="A27" s="8" t="s">
        <v>80</v>
      </c>
      <c r="B27" s="31">
        <f>'[1]Peer Analysis working '!I27</f>
        <v>16042570</v>
      </c>
      <c r="C27" s="31">
        <f>'[1]Peer Analysis working '!J27</f>
        <v>15050871</v>
      </c>
      <c r="D27" s="31">
        <f>'[1]Peer Analysis working '!K27</f>
        <v>37759530</v>
      </c>
      <c r="E27" s="31">
        <f>'[1]Peer Analysis working '!L27</f>
        <v>30603181</v>
      </c>
      <c r="F27" s="31">
        <f>'[1]Peer Analysis working '!M27</f>
        <v>109971221</v>
      </c>
      <c r="G27" s="31"/>
    </row>
    <row r="28" spans="1:7" s="28" customFormat="1">
      <c r="A28" s="23" t="s">
        <v>119</v>
      </c>
      <c r="B28" s="30">
        <f>'[1]Peer Analysis working '!I28*10</f>
        <v>705.87307999999996</v>
      </c>
      <c r="C28" s="29">
        <f>'[1]Peer Analysis working '!J28*10</f>
        <v>5698.2597605999999</v>
      </c>
      <c r="D28" s="29">
        <f>'[1]Peer Analysis working '!K28*10</f>
        <v>1049.7149340000001</v>
      </c>
      <c r="E28" s="29">
        <f>'[1]Peer Analysis working '!L28*10</f>
        <v>2209.5496682000003</v>
      </c>
      <c r="F28" s="29">
        <f>'[1]Peer Analysis working '!M28*10</f>
        <v>25254.89090265</v>
      </c>
      <c r="G28" s="29"/>
    </row>
    <row r="29" spans="1:7" s="28" customFormat="1">
      <c r="A29" s="23" t="s">
        <v>84</v>
      </c>
      <c r="B29" s="30">
        <f>'[1]Peer Analysis working '!I31*10</f>
        <v>297.57307999999966</v>
      </c>
      <c r="C29" s="29">
        <f>'[1]Peer Analysis working '!J31*10</f>
        <v>3873.2597605999999</v>
      </c>
      <c r="D29" s="29">
        <f>'[1]Peer Analysis working '!K31*10</f>
        <v>6252.7149340000014</v>
      </c>
      <c r="E29" s="29">
        <f>'[1]Peer Analysis working '!L31*10</f>
        <v>9985.5496681999994</v>
      </c>
      <c r="F29" s="29">
        <f>'[1]Peer Analysis working '!M31*10</f>
        <v>-32545.109097349996</v>
      </c>
      <c r="G29" s="29"/>
    </row>
    <row r="30" spans="1:7">
      <c r="A30" s="18"/>
      <c r="B30" s="8"/>
      <c r="C30" s="18"/>
      <c r="D30" s="25"/>
      <c r="E30" s="18"/>
      <c r="F30" s="18"/>
      <c r="G30" s="18"/>
    </row>
    <row r="31" spans="1:7">
      <c r="A31" s="18" t="s">
        <v>137</v>
      </c>
      <c r="B31" s="20">
        <f>'[1]Peer Analysis working '!I35</f>
        <v>11.702127659574469</v>
      </c>
      <c r="C31" s="20">
        <f>'[1]Peer Analysis working '!J35</f>
        <v>7.2514843899636086</v>
      </c>
      <c r="D31" s="20">
        <f>'[1]Peer Analysis working '!K35</f>
        <v>3.5504469987228608</v>
      </c>
      <c r="E31" s="20">
        <f>'[1]Peer Analysis working '!L35</f>
        <v>22.147239263803684</v>
      </c>
      <c r="F31" s="20">
        <f>'[1]Peer Analysis working '!M35</f>
        <v>7.3206885559451704</v>
      </c>
      <c r="G31" s="20"/>
    </row>
    <row r="32" spans="1:7">
      <c r="A32" s="18" t="s">
        <v>96</v>
      </c>
      <c r="B32" s="27">
        <f>'[1]Peer Analysis working '!I44</f>
        <v>3.4090909090909088E-2</v>
      </c>
      <c r="C32" s="26">
        <f>'[1]Peer Analysis working '!J44</f>
        <v>0.10565240359218171</v>
      </c>
      <c r="D32" s="26">
        <f>'[1]Peer Analysis working '!K44</f>
        <v>0</v>
      </c>
      <c r="E32" s="26">
        <f>'[1]Peer Analysis working '!L44</f>
        <v>0</v>
      </c>
      <c r="F32" s="26">
        <f>'[1]Peer Analysis working '!M44</f>
        <v>6.531678641410843E-2</v>
      </c>
      <c r="G32" s="26"/>
    </row>
    <row r="33" spans="1:7">
      <c r="A33" s="18" t="s">
        <v>136</v>
      </c>
      <c r="B33" s="20">
        <f>'[1]Peer Analysis working '!I36</f>
        <v>0.10369903069514348</v>
      </c>
      <c r="C33" s="20">
        <f>'[1]Peer Analysis working '!J36</f>
        <v>0.11984730073192279</v>
      </c>
      <c r="D33" s="20">
        <f>'[1]Peer Analysis working '!K36</f>
        <v>3.3310536413543618E-2</v>
      </c>
      <c r="E33" s="20">
        <f>'[1]Peer Analysis working '!L36</f>
        <v>3.6471446910849581E-2</v>
      </c>
      <c r="F33" s="20">
        <f>'[1]Peer Analysis working '!M36</f>
        <v>9.8617247462415569E-2</v>
      </c>
      <c r="G33" s="20"/>
    </row>
    <row r="34" spans="1:7">
      <c r="A34" s="18" t="s">
        <v>135</v>
      </c>
      <c r="B34" s="20">
        <f>'[1]Peer Analysis working '!I37</f>
        <v>0.12729854551676908</v>
      </c>
      <c r="C34" s="20">
        <f>'[1]Peer Analysis working '!J37</f>
        <v>0.44281007895278379</v>
      </c>
      <c r="D34" s="20">
        <f>'[1]Peer Analysis working '!K37</f>
        <v>0.67017309046087903</v>
      </c>
      <c r="E34" s="20">
        <f>'[1]Peer Analysis working '!L37</f>
        <v>1.021121757664383</v>
      </c>
      <c r="F34" s="20">
        <f>'[1]Peer Analysis working '!M37</f>
        <v>-0.59291508648843139</v>
      </c>
      <c r="G34" s="20"/>
    </row>
    <row r="35" spans="1:7">
      <c r="A35" s="18"/>
      <c r="B35" s="8"/>
      <c r="C35" s="18"/>
      <c r="D35" s="25"/>
      <c r="E35" s="25"/>
      <c r="F35" s="18"/>
      <c r="G35" s="18"/>
    </row>
    <row r="36" spans="1:7">
      <c r="A36" s="23" t="s">
        <v>134</v>
      </c>
      <c r="B36" s="24"/>
      <c r="C36" s="23"/>
      <c r="D36" s="23"/>
      <c r="E36" s="23"/>
      <c r="F36" s="23"/>
      <c r="G36" s="23"/>
    </row>
    <row r="37" spans="1:7">
      <c r="A37" s="23" t="s">
        <v>153</v>
      </c>
      <c r="B37" s="19" t="e">
        <f>#REF!</f>
        <v>#REF!</v>
      </c>
      <c r="C37" s="19">
        <f>'[1]Peer Analysis working '!J32</f>
        <v>378.6</v>
      </c>
      <c r="D37" s="19">
        <f>'[1]Peer Analysis working '!K32</f>
        <v>27.8</v>
      </c>
      <c r="E37" s="19">
        <f>'[1]Peer Analysis working '!L32</f>
        <v>72.2</v>
      </c>
      <c r="F37" s="19">
        <f>'[1]Peer Analysis working '!M32</f>
        <v>229.65</v>
      </c>
      <c r="G37" s="19"/>
    </row>
    <row r="38" spans="1:7">
      <c r="A38" s="18" t="s">
        <v>133</v>
      </c>
      <c r="B38" s="19">
        <f>B18</f>
        <v>6806.94</v>
      </c>
      <c r="C38" s="19">
        <f>C18</f>
        <v>47546</v>
      </c>
      <c r="D38" s="19">
        <f>D18</f>
        <v>31513</v>
      </c>
      <c r="E38" s="19">
        <f>E18</f>
        <v>60583</v>
      </c>
      <c r="F38" s="19">
        <f>F18</f>
        <v>256090</v>
      </c>
      <c r="G38" s="19"/>
    </row>
    <row r="39" spans="1:7">
      <c r="A39" s="18" t="s">
        <v>132</v>
      </c>
      <c r="B39" s="19">
        <f>'[1]Peer Analysis working '!I34</f>
        <v>424.30483395116869</v>
      </c>
      <c r="C39" s="19">
        <f>'[1]Peer Analysis working '!J34</f>
        <v>3159.0198334701026</v>
      </c>
      <c r="D39" s="19">
        <f>'[1]Peer Analysis working '!K34</f>
        <v>834.57076928658807</v>
      </c>
      <c r="E39" s="19">
        <f>'[1]Peer Analysis working '!L34</f>
        <v>1979.6308102742653</v>
      </c>
      <c r="F39" s="19">
        <f>'[1]Peer Analysis working '!M34</f>
        <v>2328.7001605629166</v>
      </c>
      <c r="G39" s="19"/>
    </row>
    <row r="40" spans="1:7">
      <c r="A40" s="18" t="s">
        <v>131</v>
      </c>
      <c r="B40" s="17">
        <f>'[1]Peer Analysis working '!I38</f>
        <v>9.1637358343103104E-2</v>
      </c>
      <c r="C40" s="17">
        <f>'[1]Peer Analysis working '!J38</f>
        <v>0.16579733310898917</v>
      </c>
      <c r="D40" s="17">
        <f>'[1]Peer Analysis working '!K38</f>
        <v>9.392948941706597E-2</v>
      </c>
      <c r="E40" s="17">
        <f>'[1]Peer Analysis working '!L38</f>
        <v>1.6456761797864088E-2</v>
      </c>
      <c r="F40" s="17">
        <f>'[1]Peer Analysis working '!M38</f>
        <v>0.13475731188254128</v>
      </c>
      <c r="G40" s="17"/>
    </row>
    <row r="41" spans="1:7">
      <c r="A41" s="18" t="s">
        <v>130</v>
      </c>
      <c r="B41" s="17">
        <f>'[1]Peer Analysis working '!I39</f>
        <v>0.15966919879744115</v>
      </c>
      <c r="C41" s="17">
        <f>'[1]Peer Analysis working '!J39</f>
        <v>0.23463756949794889</v>
      </c>
      <c r="D41" s="17">
        <f>'[1]Peer Analysis working '!K39</f>
        <v>0.16266310441067727</v>
      </c>
      <c r="E41" s="17">
        <f>'[1]Peer Analysis working '!L39</f>
        <v>7.0130917016226549E-2</v>
      </c>
      <c r="F41" s="17">
        <f>'[1]Peer Analysis working '!M39</f>
        <v>0.12677259525029899</v>
      </c>
      <c r="G41" s="17"/>
    </row>
    <row r="42" spans="1:7">
      <c r="A42" s="18" t="s">
        <v>129</v>
      </c>
      <c r="B42" s="20">
        <f>'[1]Peer Analysis working '!I40</f>
        <v>0.19664505085895492</v>
      </c>
      <c r="C42" s="20">
        <f>'[1]Peer Analysis working '!J40</f>
        <v>0.68930559505911992</v>
      </c>
      <c r="D42" s="20">
        <f>'[1]Peer Analysis working '!K40</f>
        <v>0.63170644710638169</v>
      </c>
      <c r="E42" s="20">
        <f>'[1]Peer Analysis working '!L40</f>
        <v>0.8970505519229417</v>
      </c>
      <c r="F42" s="20">
        <f>'[1]Peer Analysis working '!M40</f>
        <v>0.46451642047251207</v>
      </c>
      <c r="G42" s="20"/>
    </row>
    <row r="43" spans="1:7">
      <c r="A43" s="18" t="s">
        <v>128</v>
      </c>
      <c r="B43" s="21">
        <f>'[1]Peer Analysis working '!I45</f>
        <v>66.342013720741051</v>
      </c>
      <c r="C43" s="21">
        <f>'[1]Peer Analysis working '!J45</f>
        <v>65.062573645930684</v>
      </c>
      <c r="D43" s="21">
        <f>'[1]Peer Analysis working '!K45</f>
        <v>86.592976250631622</v>
      </c>
      <c r="E43" s="21">
        <f>'[1]Peer Analysis working '!L45</f>
        <v>107.90185790620825</v>
      </c>
      <c r="F43" s="21">
        <f>'[1]Peer Analysis working '!M45</f>
        <v>56.711275240547494</v>
      </c>
      <c r="G43" s="21"/>
    </row>
    <row r="44" spans="1:7">
      <c r="A44" s="18" t="s">
        <v>99</v>
      </c>
      <c r="B44" s="21">
        <f>'[1]Peer Analysis working '!I47</f>
        <v>0</v>
      </c>
      <c r="C44" s="21">
        <f>'[1]Peer Analysis working '!J47</f>
        <v>0</v>
      </c>
      <c r="D44" s="21">
        <f>'[1]Peer Analysis working '!K47</f>
        <v>10.79</v>
      </c>
      <c r="E44" s="21">
        <f>'[1]Peer Analysis working '!L47</f>
        <v>0</v>
      </c>
      <c r="F44" s="21">
        <f>'[1]Peer Analysis working '!M47</f>
        <v>16.899999999999999</v>
      </c>
      <c r="G44" s="21"/>
    </row>
    <row r="45" spans="1:7">
      <c r="A45" s="18" t="s">
        <v>127</v>
      </c>
      <c r="B45" s="22">
        <f>'[1]Peer Analysis working '!I46</f>
        <v>6242.8348665021331</v>
      </c>
      <c r="C45" s="21">
        <f>'[1]Peer Analysis working '!J46</f>
        <v>17.260000000000002</v>
      </c>
      <c r="D45" s="21">
        <f>'[1]Peer Analysis working '!K46</f>
        <v>29.69</v>
      </c>
      <c r="E45" s="21">
        <f>'[1]Peer Analysis working '!L46</f>
        <v>50.87</v>
      </c>
      <c r="F45" s="21">
        <f>'[1]Peer Analysis working '!M46</f>
        <v>51.52</v>
      </c>
      <c r="G45" s="21"/>
    </row>
    <row r="46" spans="1:7">
      <c r="A46" s="18" t="s">
        <v>126</v>
      </c>
      <c r="B46" s="22">
        <f>'[1]Peer Analysis working '!I48</f>
        <v>-6176.4928527813918</v>
      </c>
      <c r="C46" s="21">
        <f>'[1]Peer Analysis working '!J48</f>
        <v>47.802573645930678</v>
      </c>
      <c r="D46" s="21">
        <f>'[1]Peer Analysis working '!K48</f>
        <v>67.692976250631631</v>
      </c>
      <c r="E46" s="21">
        <f>'[1]Peer Analysis working '!L48</f>
        <v>57.031857906208252</v>
      </c>
      <c r="F46" s="21">
        <f>'[1]Peer Analysis working '!M48</f>
        <v>22.091275240547482</v>
      </c>
      <c r="G46" s="21"/>
    </row>
    <row r="47" spans="1:7">
      <c r="A47" s="18" t="s">
        <v>101</v>
      </c>
      <c r="B47" s="21">
        <f>'[1]Peer Analysis working '!I49</f>
        <v>38.568782865166789</v>
      </c>
      <c r="C47" s="21">
        <f>'[1]Peer Analysis working '!J49</f>
        <v>104.5124131485921</v>
      </c>
      <c r="D47" s="21">
        <f>'[1]Peer Analysis working '!K49</f>
        <v>-3.1679695627619462</v>
      </c>
      <c r="E47" s="21">
        <f>'[1]Peer Analysis working '!L49</f>
        <v>102.35551571398437</v>
      </c>
      <c r="F47" s="21">
        <f>'[1]Peer Analysis working '!M49</f>
        <v>168.22119076658987</v>
      </c>
      <c r="G47" s="21"/>
    </row>
    <row r="48" spans="1:7">
      <c r="A48" s="18" t="s">
        <v>125</v>
      </c>
      <c r="B48" s="20">
        <f>'[1]Peer Analysis working '!I41</f>
        <v>0.2653350844873027</v>
      </c>
      <c r="C48" s="20">
        <f>'[1]Peer Analysis working '!J41</f>
        <v>0</v>
      </c>
      <c r="D48" s="20">
        <f>'[1]Peer Analysis working '!K41</f>
        <v>0.38774474026592198</v>
      </c>
      <c r="E48" s="20">
        <f>'[1]Peer Analysis working '!L41</f>
        <v>0.15337635970486771</v>
      </c>
      <c r="F48" s="20">
        <f>'[1]Peer Analysis working '!M41</f>
        <v>0.14596430942246866</v>
      </c>
      <c r="G48" s="20"/>
    </row>
    <row r="49" spans="1:7">
      <c r="A49" s="18" t="s">
        <v>124</v>
      </c>
      <c r="B49" s="20">
        <f>'[1]Peer Analysis working '!I42</f>
        <v>-5.998289980519883E-2</v>
      </c>
      <c r="C49" s="20">
        <f>'[1]Peer Analysis working '!J42</f>
        <v>-3.8383880873259578E-2</v>
      </c>
      <c r="D49" s="20">
        <f>'[1]Peer Analysis working '!K42</f>
        <v>0.16510646399898457</v>
      </c>
      <c r="E49" s="20">
        <f>'[1]Peer Analysis working '!L42</f>
        <v>0.128352838254956</v>
      </c>
      <c r="F49" s="20">
        <f>'[1]Peer Analysis working '!M42</f>
        <v>-0.22570190167519233</v>
      </c>
      <c r="G49" s="20"/>
    </row>
    <row r="50" spans="1:7">
      <c r="A50" s="18" t="s">
        <v>120</v>
      </c>
      <c r="B50" s="19">
        <f>'[1]Peer Analysis working '!I51</f>
        <v>3.7837018647884131</v>
      </c>
      <c r="C50" s="19">
        <f>'[1]Peer Analysis working '!J51</f>
        <v>158.70422535211267</v>
      </c>
      <c r="D50" s="19">
        <f>'[1]Peer Analysis working '!K51</f>
        <v>2.2760347129506009</v>
      </c>
      <c r="E50" s="19">
        <f>'[1]Peer Analysis working '!L51</f>
        <v>3.4877505567928733</v>
      </c>
      <c r="F50" s="19">
        <f>'[1]Peer Analysis working '!M51</f>
        <v>10.687242798353909</v>
      </c>
      <c r="G50" s="19"/>
    </row>
    <row r="51" spans="1:7">
      <c r="A51" s="18" t="s">
        <v>123</v>
      </c>
      <c r="B51" s="17">
        <f>'[1]Peer Analysis working '!I50</f>
        <v>0.19180342391424715</v>
      </c>
      <c r="C51" s="17">
        <f>'[1]Peer Analysis working '!J50</f>
        <v>0</v>
      </c>
      <c r="D51" s="17">
        <f>'[1]Peer Analysis working '!K50</f>
        <v>0.24519191423193387</v>
      </c>
      <c r="E51" s="17">
        <f>'[1]Peer Analysis working '!L50</f>
        <v>0.14496340938441668</v>
      </c>
      <c r="F51" s="17">
        <f>'[1]Peer Analysis working '!M50</f>
        <v>0.13001605136436598</v>
      </c>
      <c r="G51" s="17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tabSelected="1" topLeftCell="H1" zoomScale="70" zoomScaleNormal="70" workbookViewId="0">
      <selection activeCell="AF58" sqref="AF58"/>
    </sheetView>
  </sheetViews>
  <sheetFormatPr defaultRowHeight="14.4"/>
  <cols>
    <col min="1" max="1" width="59.6640625" bestFit="1" customWidth="1"/>
    <col min="2" max="3" width="12.6640625" customWidth="1"/>
    <col min="4" max="4" width="12.44140625" bestFit="1" customWidth="1"/>
    <col min="5" max="5" width="12.88671875" bestFit="1" customWidth="1"/>
    <col min="6" max="6" width="12" bestFit="1" customWidth="1"/>
    <col min="7" max="7" width="12.88671875" bestFit="1" customWidth="1"/>
    <col min="8" max="8" width="12.44140625" bestFit="1" customWidth="1"/>
    <col min="9" max="10" width="13.33203125" bestFit="1" customWidth="1"/>
    <col min="11" max="11" width="13.33203125" customWidth="1"/>
    <col min="12" max="12" width="14.33203125" customWidth="1"/>
    <col min="13" max="13" width="17.44140625" customWidth="1"/>
    <col min="14" max="14" width="9" bestFit="1" customWidth="1"/>
    <col min="15" max="15" width="69.44140625" bestFit="1" customWidth="1"/>
    <col min="16" max="23" width="13.33203125" bestFit="1" customWidth="1"/>
    <col min="24" max="24" width="17.5546875" customWidth="1"/>
    <col min="25" max="25" width="9.5546875" hidden="1" customWidth="1"/>
    <col min="26" max="26" width="10.88671875" hidden="1" customWidth="1"/>
    <col min="27" max="27" width="14.5546875" hidden="1" customWidth="1"/>
    <col min="28" max="31" width="0" hidden="1" customWidth="1"/>
    <col min="32" max="32" width="13.33203125" customWidth="1"/>
  </cols>
  <sheetData>
    <row r="1" spans="1:28" ht="18.600000000000001" thickBo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27"/>
      <c r="N1" s="6"/>
      <c r="O1" s="169"/>
      <c r="P1" s="169"/>
      <c r="Q1" s="169"/>
      <c r="R1" s="169"/>
      <c r="S1" s="169"/>
      <c r="T1" s="169"/>
      <c r="U1" s="169"/>
      <c r="V1" s="169"/>
      <c r="W1" s="169"/>
      <c r="X1" s="169"/>
    </row>
    <row r="2" spans="1:28" ht="18.600000000000001" thickBot="1">
      <c r="A2" s="170" t="s">
        <v>112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  <c r="M2" s="127"/>
      <c r="N2" s="6"/>
      <c r="O2" s="170" t="s">
        <v>170</v>
      </c>
      <c r="P2" s="171"/>
      <c r="Q2" s="171"/>
      <c r="R2" s="171"/>
      <c r="S2" s="171"/>
      <c r="T2" s="171"/>
      <c r="U2" s="171"/>
      <c r="V2" s="171"/>
      <c r="W2" s="171"/>
      <c r="X2" s="172"/>
    </row>
    <row r="3" spans="1:28" ht="15" thickBot="1">
      <c r="A3" s="124" t="s">
        <v>1</v>
      </c>
      <c r="B3" s="125" t="s">
        <v>42</v>
      </c>
      <c r="C3" s="125" t="s">
        <v>43</v>
      </c>
      <c r="D3" s="125" t="s">
        <v>41</v>
      </c>
      <c r="E3" s="125" t="s">
        <v>2</v>
      </c>
      <c r="F3" s="125" t="s">
        <v>3</v>
      </c>
      <c r="G3" s="125" t="s">
        <v>61</v>
      </c>
      <c r="H3" s="125" t="s">
        <v>154</v>
      </c>
      <c r="I3" s="125" t="s">
        <v>156</v>
      </c>
      <c r="J3" s="125" t="s">
        <v>161</v>
      </c>
      <c r="K3" s="125" t="s">
        <v>165</v>
      </c>
      <c r="L3" s="126" t="s">
        <v>168</v>
      </c>
      <c r="N3" s="68"/>
      <c r="O3" s="155"/>
      <c r="P3" s="125" t="s">
        <v>41</v>
      </c>
      <c r="Q3" s="125" t="s">
        <v>2</v>
      </c>
      <c r="R3" s="125" t="s">
        <v>3</v>
      </c>
      <c r="S3" s="125" t="s">
        <v>61</v>
      </c>
      <c r="T3" s="125" t="s">
        <v>154</v>
      </c>
      <c r="U3" s="125" t="s">
        <v>156</v>
      </c>
      <c r="V3" s="125" t="s">
        <v>161</v>
      </c>
      <c r="W3" s="125" t="s">
        <v>166</v>
      </c>
      <c r="X3" s="126" t="s">
        <v>168</v>
      </c>
    </row>
    <row r="4" spans="1:28">
      <c r="A4" s="69" t="s">
        <v>44</v>
      </c>
      <c r="B4" s="5">
        <v>5353.0860000000002</v>
      </c>
      <c r="C4" s="5">
        <v>4322.4170000000004</v>
      </c>
      <c r="D4" s="5">
        <v>4635.4960000000001</v>
      </c>
      <c r="E4" s="5">
        <v>5876.5929999999998</v>
      </c>
      <c r="F4" s="5">
        <v>5342.1729999999998</v>
      </c>
      <c r="G4" s="5">
        <v>5891.65</v>
      </c>
      <c r="H4" s="5">
        <v>5447.3959999999997</v>
      </c>
      <c r="I4" s="5">
        <v>7324.74</v>
      </c>
      <c r="J4" s="5">
        <v>8666.2610000000004</v>
      </c>
      <c r="K4" s="5">
        <v>7219.0690000000004</v>
      </c>
      <c r="L4" s="70">
        <v>3097.904</v>
      </c>
      <c r="O4" s="69" t="s">
        <v>4</v>
      </c>
      <c r="P4" s="5">
        <v>49.603999999999999</v>
      </c>
      <c r="Q4" s="5">
        <v>49.603999999999999</v>
      </c>
      <c r="R4" s="5">
        <v>49.603999999999999</v>
      </c>
      <c r="S4" s="5">
        <v>49.603999999999999</v>
      </c>
      <c r="T4" s="5">
        <v>49.603999999999999</v>
      </c>
      <c r="U4" s="5">
        <v>49.603999999999999</v>
      </c>
      <c r="V4" s="5">
        <v>49.603999999999999</v>
      </c>
      <c r="W4" s="5">
        <v>51.103999999999999</v>
      </c>
      <c r="X4" s="122">
        <v>52.695999999999998</v>
      </c>
      <c r="Z4" s="109"/>
    </row>
    <row r="5" spans="1:28">
      <c r="A5" s="88" t="s">
        <v>45</v>
      </c>
      <c r="B5" s="10"/>
      <c r="C5" s="10">
        <f t="shared" ref="C5:E5" si="0">C4/B4-1</f>
        <v>-0.1925373513520986</v>
      </c>
      <c r="D5" s="10">
        <f t="shared" si="0"/>
        <v>7.2431466006172007E-2</v>
      </c>
      <c r="E5" s="10">
        <f t="shared" si="0"/>
        <v>0.26773769193199604</v>
      </c>
      <c r="F5" s="10">
        <f t="shared" ref="F5:I5" si="1">F4/E4-1</f>
        <v>-9.0940447977254868E-2</v>
      </c>
      <c r="G5" s="10">
        <f t="shared" si="1"/>
        <v>0.10285645934716081</v>
      </c>
      <c r="H5" s="10">
        <f t="shared" si="1"/>
        <v>-7.5404003971722644E-2</v>
      </c>
      <c r="I5" s="10">
        <f t="shared" si="1"/>
        <v>0.3446314532668453</v>
      </c>
      <c r="J5" s="10">
        <f>J4/I4-1</f>
        <v>0.18314929949732006</v>
      </c>
      <c r="K5" s="10">
        <f>K4/J4-1</f>
        <v>-0.16699150879485392</v>
      </c>
      <c r="L5" s="112"/>
      <c r="N5" s="57"/>
      <c r="O5" s="69" t="s">
        <v>5</v>
      </c>
      <c r="P5" s="5">
        <v>712.572</v>
      </c>
      <c r="Q5" s="5">
        <v>763.553</v>
      </c>
      <c r="R5" s="5">
        <v>941.18600000000004</v>
      </c>
      <c r="S5" s="5">
        <v>1294.4169999999999</v>
      </c>
      <c r="T5" s="5">
        <v>1491.771</v>
      </c>
      <c r="U5" s="5">
        <v>1251.6389999999999</v>
      </c>
      <c r="V5" s="5">
        <v>1467.0989999999999</v>
      </c>
      <c r="W5" s="5">
        <v>1965.289</v>
      </c>
      <c r="X5" s="122">
        <v>2128.402</v>
      </c>
      <c r="Z5" s="109"/>
    </row>
    <row r="6" spans="1:28">
      <c r="A6" s="88" t="s">
        <v>46</v>
      </c>
      <c r="B6" s="11"/>
      <c r="C6" s="11"/>
      <c r="D6" s="11"/>
      <c r="E6" s="10">
        <f t="shared" ref="E6:I6" si="2">((E4/B4)^(1/3)-1)</f>
        <v>3.1590017632421308E-2</v>
      </c>
      <c r="F6" s="10">
        <f t="shared" si="2"/>
        <v>7.3158233224499325E-2</v>
      </c>
      <c r="G6" s="10">
        <f t="shared" si="2"/>
        <v>8.321228340235054E-2</v>
      </c>
      <c r="H6" s="10">
        <f t="shared" si="2"/>
        <v>-2.4962966174320478E-2</v>
      </c>
      <c r="I6" s="10">
        <f t="shared" si="2"/>
        <v>0.11094209188674431</v>
      </c>
      <c r="J6" s="10">
        <f>((J4/G4)^(1/3)-1)</f>
        <v>0.13727355796280549</v>
      </c>
      <c r="K6" s="10">
        <f>((K4/H4)^(1/3)-1)</f>
        <v>9.8408997572731582E-2</v>
      </c>
      <c r="L6" s="112"/>
      <c r="N6" s="57"/>
      <c r="O6" s="96" t="s">
        <v>6</v>
      </c>
      <c r="P6" s="13">
        <f t="shared" ref="P6" si="3">SUM(P4:P5)</f>
        <v>762.17600000000004</v>
      </c>
      <c r="Q6" s="13">
        <f t="shared" ref="Q6:U6" si="4">SUM(Q4:Q5)</f>
        <v>813.15700000000004</v>
      </c>
      <c r="R6" s="13">
        <f t="shared" si="4"/>
        <v>990.79000000000008</v>
      </c>
      <c r="S6" s="13">
        <f t="shared" si="4"/>
        <v>1344.021</v>
      </c>
      <c r="T6" s="13">
        <f t="shared" si="4"/>
        <v>1541.375</v>
      </c>
      <c r="U6" s="13">
        <f t="shared" si="4"/>
        <v>1301.2429999999999</v>
      </c>
      <c r="V6" s="13">
        <f>SUM(V4:V5)</f>
        <v>1516.703</v>
      </c>
      <c r="W6" s="13">
        <f>SUM(W4:W5)</f>
        <v>2016.393</v>
      </c>
      <c r="X6" s="84">
        <f>SUM(X4:X5)</f>
        <v>2181.098</v>
      </c>
      <c r="Z6" s="110">
        <f>W17-V17+K18</f>
        <v>238.03700000000009</v>
      </c>
    </row>
    <row r="7" spans="1:28">
      <c r="A7" s="82" t="s">
        <v>47</v>
      </c>
      <c r="B7" s="5"/>
      <c r="C7" s="5"/>
      <c r="D7" s="5"/>
      <c r="E7" s="5"/>
      <c r="F7" s="5"/>
      <c r="G7" s="5"/>
      <c r="H7" s="5"/>
      <c r="I7" s="5"/>
      <c r="J7" s="5"/>
      <c r="K7" s="5"/>
      <c r="L7" s="70"/>
      <c r="N7" s="56"/>
      <c r="O7" s="69"/>
      <c r="P7" s="5"/>
      <c r="Q7" s="5"/>
      <c r="R7" s="5"/>
      <c r="S7" s="5"/>
      <c r="T7" s="5"/>
      <c r="U7" s="5"/>
      <c r="V7" s="140"/>
      <c r="W7" s="140"/>
      <c r="X7" s="120"/>
      <c r="Z7" s="109">
        <f>V17-U17+J18</f>
        <v>437.9009999999999</v>
      </c>
    </row>
    <row r="8" spans="1:28">
      <c r="A8" s="83" t="s">
        <v>48</v>
      </c>
      <c r="B8" s="5">
        <v>3774.4209999999998</v>
      </c>
      <c r="C8" s="5">
        <v>3106.9029999999998</v>
      </c>
      <c r="D8" s="5">
        <v>3643.7959999999998</v>
      </c>
      <c r="E8" s="5">
        <v>4923.7030000000004</v>
      </c>
      <c r="F8" s="5">
        <v>4050.8580000000002</v>
      </c>
      <c r="G8" s="5">
        <v>4676.7759999999998</v>
      </c>
      <c r="H8" s="5">
        <v>4668.6949999999997</v>
      </c>
      <c r="I8" s="5">
        <v>6288.5559999999996</v>
      </c>
      <c r="J8" s="5">
        <v>6840.3370000000004</v>
      </c>
      <c r="K8" s="5">
        <v>5789.3459999999995</v>
      </c>
      <c r="L8" s="70">
        <v>2199.0500000000002</v>
      </c>
      <c r="N8" s="56"/>
      <c r="O8" s="69" t="s">
        <v>7</v>
      </c>
      <c r="P8" s="5">
        <v>133.00399999999999</v>
      </c>
      <c r="Q8" s="5">
        <v>219.47900000000001</v>
      </c>
      <c r="R8" s="5">
        <v>153.20500000000001</v>
      </c>
      <c r="S8" s="5">
        <v>260.49900000000002</v>
      </c>
      <c r="T8" s="5">
        <v>196.04900000000001</v>
      </c>
      <c r="U8" s="5">
        <v>252.483</v>
      </c>
      <c r="V8" s="63">
        <v>491.834</v>
      </c>
      <c r="W8" s="63">
        <v>261.834</v>
      </c>
      <c r="X8" s="122">
        <v>327.48500000000001</v>
      </c>
      <c r="Z8" s="109"/>
    </row>
    <row r="9" spans="1:28">
      <c r="A9" s="83" t="s">
        <v>63</v>
      </c>
      <c r="B9" s="9">
        <v>-10.596</v>
      </c>
      <c r="C9" s="9">
        <v>-105.893</v>
      </c>
      <c r="D9" s="9">
        <v>-62.892000000000003</v>
      </c>
      <c r="E9" s="9">
        <v>-151.91300000000001</v>
      </c>
      <c r="F9" s="9">
        <v>69.221000000000004</v>
      </c>
      <c r="G9" s="9">
        <v>-217.91200000000001</v>
      </c>
      <c r="H9" s="9">
        <v>-273.82100000000003</v>
      </c>
      <c r="I9" s="9">
        <v>197.64599999999999</v>
      </c>
      <c r="J9" s="5">
        <v>51.51</v>
      </c>
      <c r="K9" s="5">
        <v>-200.51</v>
      </c>
      <c r="L9" s="70">
        <v>267.20600000000002</v>
      </c>
      <c r="N9" s="58"/>
      <c r="O9" s="69" t="s">
        <v>8</v>
      </c>
      <c r="P9" s="5">
        <v>411.15100000000001</v>
      </c>
      <c r="Q9" s="5">
        <v>461.41500000000002</v>
      </c>
      <c r="R9" s="5">
        <v>511.64400000000001</v>
      </c>
      <c r="S9" s="5">
        <v>517.63599999999997</v>
      </c>
      <c r="T9" s="5">
        <v>763.89200000000005</v>
      </c>
      <c r="U9" s="5">
        <v>919.45600000000002</v>
      </c>
      <c r="V9" s="63">
        <v>767.74300000000005</v>
      </c>
      <c r="W9" s="63">
        <v>721.49400000000003</v>
      </c>
      <c r="X9" s="122">
        <v>658.46400000000006</v>
      </c>
      <c r="Z9" s="109"/>
    </row>
    <row r="10" spans="1:28">
      <c r="A10" s="83" t="s">
        <v>68</v>
      </c>
      <c r="B10" s="9">
        <v>555.37800000000004</v>
      </c>
      <c r="C10" s="9">
        <v>446.84</v>
      </c>
      <c r="D10" s="9">
        <v>172.58699999999999</v>
      </c>
      <c r="E10" s="9">
        <v>0</v>
      </c>
      <c r="F10" s="9">
        <v>0</v>
      </c>
      <c r="G10" s="9">
        <v>0</v>
      </c>
      <c r="H10" s="54" t="s">
        <v>62</v>
      </c>
      <c r="I10" s="54">
        <v>0</v>
      </c>
      <c r="J10" s="54">
        <v>0</v>
      </c>
      <c r="K10" s="54" t="s">
        <v>62</v>
      </c>
      <c r="L10" s="113" t="s">
        <v>62</v>
      </c>
      <c r="N10" s="59"/>
      <c r="O10" s="96" t="s">
        <v>30</v>
      </c>
      <c r="P10" s="13">
        <f t="shared" ref="P10" si="5">SUM(P8:P9)</f>
        <v>544.15499999999997</v>
      </c>
      <c r="Q10" s="13">
        <f t="shared" ref="Q10:V10" si="6">SUM(Q8:Q9)</f>
        <v>680.89400000000001</v>
      </c>
      <c r="R10" s="13">
        <f t="shared" si="6"/>
        <v>664.84900000000005</v>
      </c>
      <c r="S10" s="13">
        <f t="shared" si="6"/>
        <v>778.13499999999999</v>
      </c>
      <c r="T10" s="13">
        <f t="shared" si="6"/>
        <v>959.94100000000003</v>
      </c>
      <c r="U10" s="13">
        <f t="shared" si="6"/>
        <v>1171.9390000000001</v>
      </c>
      <c r="V10" s="13">
        <f t="shared" si="6"/>
        <v>1259.577</v>
      </c>
      <c r="W10" s="13">
        <f>SUM(W8:W9)</f>
        <v>983.32799999999997</v>
      </c>
      <c r="X10" s="84">
        <f>SUM(X8:X9)</f>
        <v>985.94900000000007</v>
      </c>
      <c r="Z10" s="110"/>
    </row>
    <row r="11" spans="1:28">
      <c r="A11" s="83" t="s">
        <v>49</v>
      </c>
      <c r="B11" s="9">
        <v>184.40600000000001</v>
      </c>
      <c r="C11" s="9">
        <v>189.56200000000001</v>
      </c>
      <c r="D11" s="9">
        <v>185.953</v>
      </c>
      <c r="E11" s="9">
        <v>232.267</v>
      </c>
      <c r="F11" s="9">
        <v>233.42500000000001</v>
      </c>
      <c r="G11" s="9">
        <v>263.69299999999998</v>
      </c>
      <c r="H11" s="9">
        <v>232.39500000000001</v>
      </c>
      <c r="I11" s="9">
        <v>293.13799999999998</v>
      </c>
      <c r="J11" s="9">
        <v>352.74299999999999</v>
      </c>
      <c r="K11" s="9">
        <v>381.28699999999998</v>
      </c>
      <c r="L11" s="114">
        <v>191.65799999999999</v>
      </c>
      <c r="N11" s="58"/>
      <c r="O11" s="79"/>
      <c r="P11" s="4"/>
      <c r="Q11" s="4"/>
      <c r="R11" s="4"/>
      <c r="S11" s="5"/>
      <c r="T11" s="5"/>
      <c r="U11" s="5"/>
      <c r="V11" s="140"/>
      <c r="W11" s="140"/>
      <c r="X11" s="120"/>
      <c r="Z11" s="109"/>
    </row>
    <row r="12" spans="1:28">
      <c r="A12" s="83" t="s">
        <v>50</v>
      </c>
      <c r="B12" s="5">
        <f>471.649+1.509</f>
        <v>473.15800000000002</v>
      </c>
      <c r="C12" s="5">
        <v>395.62</v>
      </c>
      <c r="D12" s="5">
        <v>397.93200000000002</v>
      </c>
      <c r="E12" s="5">
        <v>579.97400000000005</v>
      </c>
      <c r="F12" s="5">
        <v>536.05799999999999</v>
      </c>
      <c r="G12" s="5">
        <v>483.20600000000002</v>
      </c>
      <c r="H12" s="5">
        <v>431.05799999999999</v>
      </c>
      <c r="I12" s="5">
        <v>622.86400000000003</v>
      </c>
      <c r="J12" s="5">
        <v>826.98800000000006</v>
      </c>
      <c r="K12" s="5">
        <v>965.75800000000004</v>
      </c>
      <c r="L12" s="70">
        <v>329.72699999999998</v>
      </c>
      <c r="N12" s="56"/>
      <c r="O12" s="96" t="s">
        <v>33</v>
      </c>
      <c r="P12" s="13">
        <f t="shared" ref="P12:R12" si="7">P6+P8+P56</f>
        <v>1029.96</v>
      </c>
      <c r="Q12" s="13">
        <f t="shared" si="7"/>
        <v>1270.703</v>
      </c>
      <c r="R12" s="13">
        <f t="shared" si="7"/>
        <v>1387.6020000000001</v>
      </c>
      <c r="S12" s="13">
        <f t="shared" ref="S12:X12" si="8">S6+S8+S56</f>
        <v>1766.837</v>
      </c>
      <c r="T12" s="13">
        <f t="shared" si="8"/>
        <v>1901.9479999999999</v>
      </c>
      <c r="U12" s="13">
        <f t="shared" si="8"/>
        <v>1655.059</v>
      </c>
      <c r="V12" s="13">
        <f t="shared" si="8"/>
        <v>2199.5190000000002</v>
      </c>
      <c r="W12" s="13">
        <f t="shared" si="8"/>
        <v>2454.0099999999998</v>
      </c>
      <c r="X12" s="84">
        <f t="shared" si="8"/>
        <v>2675.6</v>
      </c>
      <c r="Z12" s="110"/>
      <c r="AB12" s="103">
        <f>SUM(AB10:AB11)</f>
        <v>0</v>
      </c>
    </row>
    <row r="13" spans="1:28">
      <c r="A13" s="96" t="s">
        <v>51</v>
      </c>
      <c r="B13" s="13">
        <f t="shared" ref="B13:H13" si="9">B4-SUM(B8:B12)</f>
        <v>376.31900000000041</v>
      </c>
      <c r="C13" s="13">
        <f t="shared" si="9"/>
        <v>289.38500000000067</v>
      </c>
      <c r="D13" s="13">
        <f t="shared" si="9"/>
        <v>298.11999999999989</v>
      </c>
      <c r="E13" s="13">
        <f t="shared" si="9"/>
        <v>292.56199999999899</v>
      </c>
      <c r="F13" s="13">
        <f t="shared" si="9"/>
        <v>452.61099999999988</v>
      </c>
      <c r="G13" s="13">
        <f t="shared" si="9"/>
        <v>685.88699999999972</v>
      </c>
      <c r="H13" s="13">
        <f t="shared" si="9"/>
        <v>389.06899999999951</v>
      </c>
      <c r="I13" s="13">
        <f t="shared" ref="I13" si="10">I4-SUM(I8:I12)</f>
        <v>-77.463999999999942</v>
      </c>
      <c r="J13" s="13">
        <f>J4-SUM(J8:J12)</f>
        <v>594.68299999999908</v>
      </c>
      <c r="K13" s="13">
        <f>K4-SUM(K8:K12)</f>
        <v>283.18800000000101</v>
      </c>
      <c r="L13" s="84">
        <f>L4-SUM(L8:L12)</f>
        <v>110.26299999999992</v>
      </c>
      <c r="N13" s="60"/>
      <c r="O13" s="96" t="s">
        <v>34</v>
      </c>
      <c r="P13" s="13">
        <f>P61-P49-P9</f>
        <v>1029.9600000000003</v>
      </c>
      <c r="Q13" s="13">
        <f>Q61-Q49-Q9</f>
        <v>1270.7030000000002</v>
      </c>
      <c r="R13" s="13">
        <f>R61-R49-R9</f>
        <v>1387.6020000000001</v>
      </c>
      <c r="S13" s="13">
        <f t="shared" ref="S13:X13" si="11">S61-S49-S9-S58</f>
        <v>1766.8349999999989</v>
      </c>
      <c r="T13" s="13">
        <f t="shared" si="11"/>
        <v>1901.9479999999992</v>
      </c>
      <c r="U13" s="13">
        <f t="shared" si="11"/>
        <v>1655.0439999999999</v>
      </c>
      <c r="V13" s="13">
        <f t="shared" si="11"/>
        <v>2199.5189999999998</v>
      </c>
      <c r="W13" s="13">
        <f t="shared" si="11"/>
        <v>2454.0089999999996</v>
      </c>
      <c r="X13" s="84">
        <f t="shared" si="11"/>
        <v>2675.5999999999995</v>
      </c>
      <c r="Z13" s="110"/>
    </row>
    <row r="14" spans="1:28">
      <c r="A14" s="88" t="s">
        <v>52</v>
      </c>
      <c r="B14" s="10">
        <f t="shared" ref="B14:I14" si="12">B13/B4</f>
        <v>7.0299449700602673E-2</v>
      </c>
      <c r="C14" s="89">
        <f t="shared" si="12"/>
        <v>6.694981071932686E-2</v>
      </c>
      <c r="D14" s="89">
        <f t="shared" si="12"/>
        <v>6.431242740798393E-2</v>
      </c>
      <c r="E14" s="89">
        <f t="shared" si="12"/>
        <v>4.978428827723802E-2</v>
      </c>
      <c r="F14" s="89">
        <f t="shared" si="12"/>
        <v>8.4724137537290523E-2</v>
      </c>
      <c r="G14" s="89">
        <f t="shared" si="12"/>
        <v>0.11641679325825528</v>
      </c>
      <c r="H14" s="89">
        <f t="shared" si="12"/>
        <v>7.1422933085826604E-2</v>
      </c>
      <c r="I14" s="89">
        <f t="shared" si="12"/>
        <v>-1.0575665484372134E-2</v>
      </c>
      <c r="J14" s="89">
        <f>J13/J4</f>
        <v>6.8620481197138997E-2</v>
      </c>
      <c r="K14" s="89">
        <f>K13/K4</f>
        <v>3.9227772999537891E-2</v>
      </c>
      <c r="L14" s="115">
        <f>L13/L4</f>
        <v>3.5592774985925946E-2</v>
      </c>
      <c r="N14" s="61"/>
      <c r="O14" s="69"/>
      <c r="P14" s="5"/>
      <c r="Q14" s="5"/>
      <c r="R14" s="5"/>
      <c r="S14" s="5"/>
      <c r="T14" s="5"/>
      <c r="U14" s="5"/>
      <c r="V14" s="140"/>
      <c r="W14" s="140"/>
      <c r="X14" s="120"/>
      <c r="Z14" s="109"/>
    </row>
    <row r="15" spans="1:28">
      <c r="A15" s="88" t="s">
        <v>45</v>
      </c>
      <c r="B15" s="10"/>
      <c r="C15" s="10">
        <f t="shared" ref="C15" si="13">C14/B14-1</f>
        <v>-4.764815365613162E-2</v>
      </c>
      <c r="D15" s="10">
        <f t="shared" ref="D15" si="14">D14/C14-1</f>
        <v>-3.9393439398949348E-2</v>
      </c>
      <c r="E15" s="10">
        <f t="shared" ref="E15" si="15">E14/D14-1</f>
        <v>-0.22589940570245592</v>
      </c>
      <c r="F15" s="10">
        <f t="shared" ref="F15:I15" si="16">F13/E13-1</f>
        <v>0.54706011033559188</v>
      </c>
      <c r="G15" s="10">
        <f t="shared" si="16"/>
        <v>0.51540064205244662</v>
      </c>
      <c r="H15" s="10">
        <f t="shared" si="16"/>
        <v>-0.4327505842799183</v>
      </c>
      <c r="I15" s="10">
        <f t="shared" si="16"/>
        <v>-1.1991009306832465</v>
      </c>
      <c r="J15" s="10">
        <f>J13/I13-1</f>
        <v>-8.6768950738407469</v>
      </c>
      <c r="K15" s="10">
        <f>K13/J13-1</f>
        <v>-0.52380007499793768</v>
      </c>
      <c r="L15" s="112"/>
      <c r="N15" s="57"/>
      <c r="O15" s="96" t="s">
        <v>9</v>
      </c>
      <c r="P15" s="13">
        <f t="shared" ref="P15:T15" si="17">P17+P19</f>
        <v>834.61900000000003</v>
      </c>
      <c r="Q15" s="13">
        <f t="shared" si="17"/>
        <v>986.04200000000003</v>
      </c>
      <c r="R15" s="13">
        <f t="shared" si="17"/>
        <v>1062.6799999999998</v>
      </c>
      <c r="S15" s="13">
        <f t="shared" si="17"/>
        <v>1004.616</v>
      </c>
      <c r="T15" s="13">
        <f t="shared" si="17"/>
        <v>1059.0229999999999</v>
      </c>
      <c r="U15" s="13">
        <f>U17+U19</f>
        <v>1235.413</v>
      </c>
      <c r="V15" s="13">
        <f>V17+V19</f>
        <v>1553.29</v>
      </c>
      <c r="W15" s="13">
        <f>W17+W19</f>
        <v>1646.64</v>
      </c>
      <c r="X15" s="84">
        <f>X17+X19</f>
        <v>1772.2</v>
      </c>
      <c r="Z15" s="110"/>
    </row>
    <row r="16" spans="1:28">
      <c r="A16" s="88" t="s">
        <v>46</v>
      </c>
      <c r="B16" s="90"/>
      <c r="C16" s="90"/>
      <c r="D16" s="90"/>
      <c r="E16" s="10">
        <f t="shared" ref="E16:I16" si="18">((E13/B13)^(1/3)-1)</f>
        <v>-8.0495363599031311E-2</v>
      </c>
      <c r="F16" s="10">
        <f t="shared" si="18"/>
        <v>0.16077941056339262</v>
      </c>
      <c r="G16" s="10">
        <f t="shared" si="18"/>
        <v>0.32014150776402417</v>
      </c>
      <c r="H16" s="10">
        <f t="shared" si="18"/>
        <v>9.9688214854760648E-2</v>
      </c>
      <c r="I16" s="10">
        <f t="shared" si="18"/>
        <v>-1.5552112678525445</v>
      </c>
      <c r="J16" s="10">
        <f>((J13/G13)^(1/3)-1)</f>
        <v>-4.64481405338244E-2</v>
      </c>
      <c r="K16" s="10">
        <f>((K13/H13)^(1/3)-1)</f>
        <v>-0.10046912891983129</v>
      </c>
      <c r="L16" s="112"/>
      <c r="N16" s="57"/>
      <c r="O16" s="81" t="s">
        <v>10</v>
      </c>
      <c r="P16" s="5"/>
      <c r="Q16" s="5"/>
      <c r="R16" s="5"/>
      <c r="S16" s="5"/>
      <c r="T16" s="5"/>
      <c r="U16" s="5"/>
      <c r="V16" s="140"/>
      <c r="W16" s="140"/>
      <c r="X16" s="120"/>
      <c r="Z16" s="109"/>
    </row>
    <row r="17" spans="1:28">
      <c r="A17" s="69" t="s">
        <v>53</v>
      </c>
      <c r="B17" s="5">
        <v>17.105</v>
      </c>
      <c r="C17" s="5">
        <v>14.257999999999999</v>
      </c>
      <c r="D17" s="5">
        <v>30.071000000000002</v>
      </c>
      <c r="E17" s="5">
        <v>21.48</v>
      </c>
      <c r="F17" s="5">
        <v>16.873999999999999</v>
      </c>
      <c r="G17" s="5">
        <v>8.6080000000000005</v>
      </c>
      <c r="H17" s="5">
        <v>13.488</v>
      </c>
      <c r="I17" s="5">
        <v>35.307000000000002</v>
      </c>
      <c r="J17" s="5">
        <v>33.944000000000003</v>
      </c>
      <c r="K17" s="5">
        <v>36.457999999999998</v>
      </c>
      <c r="L17" s="70">
        <v>17.715</v>
      </c>
      <c r="N17" s="56"/>
      <c r="O17" s="69" t="s">
        <v>11</v>
      </c>
      <c r="P17" s="5">
        <v>832.16800000000001</v>
      </c>
      <c r="Q17" s="5">
        <v>983.92200000000003</v>
      </c>
      <c r="R17" s="5">
        <v>1061.1279999999999</v>
      </c>
      <c r="S17" s="5">
        <v>1003.196</v>
      </c>
      <c r="T17" s="5">
        <v>1058.125</v>
      </c>
      <c r="U17" s="5">
        <v>1234.9590000000001</v>
      </c>
      <c r="V17" s="156">
        <v>1552.915</v>
      </c>
      <c r="W17" s="156">
        <v>1646.402</v>
      </c>
      <c r="X17" s="123">
        <v>1772.008</v>
      </c>
      <c r="Y17" s="2"/>
      <c r="Z17" s="109"/>
    </row>
    <row r="18" spans="1:28">
      <c r="A18" s="83" t="s">
        <v>54</v>
      </c>
      <c r="B18" s="5">
        <v>44.228000000000002</v>
      </c>
      <c r="C18" s="5">
        <v>51.402000000000001</v>
      </c>
      <c r="D18" s="5">
        <v>59.09</v>
      </c>
      <c r="E18" s="5">
        <v>62.463000000000001</v>
      </c>
      <c r="F18" s="5">
        <v>71.516000000000005</v>
      </c>
      <c r="G18" s="5">
        <v>74.888999999999996</v>
      </c>
      <c r="H18" s="5">
        <v>80.682000000000002</v>
      </c>
      <c r="I18" s="5">
        <v>91.334999999999994</v>
      </c>
      <c r="J18" s="5">
        <v>119.94499999999999</v>
      </c>
      <c r="K18" s="5">
        <v>144.55000000000001</v>
      </c>
      <c r="L18" s="70">
        <v>81.135999999999996</v>
      </c>
      <c r="N18" s="56"/>
      <c r="O18" s="69" t="s">
        <v>12</v>
      </c>
      <c r="P18" s="5">
        <v>4.9390000000000001</v>
      </c>
      <c r="Q18" s="5">
        <v>6.718</v>
      </c>
      <c r="R18" s="5">
        <v>9.4969999999999999</v>
      </c>
      <c r="S18" s="5">
        <v>81.016999999999996</v>
      </c>
      <c r="T18" s="5">
        <v>137.14099999999999</v>
      </c>
      <c r="U18" s="5">
        <v>168.875</v>
      </c>
      <c r="V18" s="63">
        <v>132.221</v>
      </c>
      <c r="W18" s="63">
        <v>205.58699999999999</v>
      </c>
      <c r="X18" s="123">
        <v>166.03299999999999</v>
      </c>
      <c r="Y18" s="2"/>
      <c r="Z18" s="109"/>
    </row>
    <row r="19" spans="1:28">
      <c r="A19" s="83" t="s">
        <v>64</v>
      </c>
      <c r="B19" s="5">
        <v>165.90899999999999</v>
      </c>
      <c r="C19" s="5">
        <v>127.48399999999999</v>
      </c>
      <c r="D19" s="5">
        <v>130.185</v>
      </c>
      <c r="E19" s="5">
        <v>151.71600000000001</v>
      </c>
      <c r="F19" s="5">
        <v>172.571</v>
      </c>
      <c r="G19" s="5">
        <v>109.63500000000001</v>
      </c>
      <c r="H19" s="5">
        <v>141.029</v>
      </c>
      <c r="I19" s="5">
        <v>167.39</v>
      </c>
      <c r="J19" s="5">
        <v>203.75299999999999</v>
      </c>
      <c r="K19" s="5">
        <v>232.76499999999999</v>
      </c>
      <c r="L19" s="70">
        <v>81.507000000000005</v>
      </c>
      <c r="N19" s="56"/>
      <c r="O19" s="69" t="s">
        <v>35</v>
      </c>
      <c r="P19" s="5">
        <v>2.4510000000000001</v>
      </c>
      <c r="Q19" s="5">
        <v>2.12</v>
      </c>
      <c r="R19" s="5">
        <v>1.552</v>
      </c>
      <c r="S19" s="5">
        <v>1.42</v>
      </c>
      <c r="T19" s="5">
        <v>0.89800000000000002</v>
      </c>
      <c r="U19" s="5">
        <v>0.45400000000000001</v>
      </c>
      <c r="V19" s="63">
        <v>0.375</v>
      </c>
      <c r="W19" s="63">
        <v>0.23799999999999999</v>
      </c>
      <c r="X19" s="122">
        <v>0.192</v>
      </c>
      <c r="Z19" s="109"/>
    </row>
    <row r="20" spans="1:28">
      <c r="A20" s="91" t="s">
        <v>104</v>
      </c>
      <c r="B20" s="5">
        <v>0</v>
      </c>
      <c r="C20" s="5">
        <v>0</v>
      </c>
      <c r="D20" s="5">
        <v>0</v>
      </c>
      <c r="E20" s="5">
        <v>0</v>
      </c>
      <c r="F20" s="5">
        <v>11.654999999999999</v>
      </c>
      <c r="G20" s="5">
        <v>0</v>
      </c>
      <c r="H20" s="5">
        <v>-11.654999999999999</v>
      </c>
      <c r="I20" s="54" t="s">
        <v>62</v>
      </c>
      <c r="J20" s="54">
        <v>0</v>
      </c>
      <c r="K20" s="54">
        <v>0</v>
      </c>
      <c r="L20" s="113">
        <v>0</v>
      </c>
      <c r="N20" s="56"/>
      <c r="O20" s="82" t="s">
        <v>13</v>
      </c>
      <c r="P20" s="5"/>
      <c r="Q20" s="5"/>
      <c r="R20" s="5"/>
      <c r="S20" s="5"/>
      <c r="T20" s="5"/>
      <c r="U20" s="5"/>
      <c r="V20" s="140"/>
      <c r="W20" s="140"/>
      <c r="X20" s="120"/>
      <c r="Z20" s="109"/>
    </row>
    <row r="21" spans="1:28">
      <c r="A21" s="92" t="s">
        <v>55</v>
      </c>
      <c r="B21" s="12">
        <f t="shared" ref="B21:E21" si="19">B13+B17-SUM(B18:B20)</f>
        <v>183.28700000000043</v>
      </c>
      <c r="C21" s="12">
        <f t="shared" si="19"/>
        <v>124.75700000000066</v>
      </c>
      <c r="D21" s="12">
        <f t="shared" si="19"/>
        <v>138.91599999999991</v>
      </c>
      <c r="E21" s="12">
        <f t="shared" si="19"/>
        <v>99.862999999999005</v>
      </c>
      <c r="F21" s="12">
        <f>F13+F17-SUM(F18:F20)</f>
        <v>213.74299999999991</v>
      </c>
      <c r="G21" s="12">
        <f t="shared" ref="G21:K21" si="20">G13+G17-SUM(G18:G20)</f>
        <v>509.97099999999966</v>
      </c>
      <c r="H21" s="12">
        <f t="shared" si="20"/>
        <v>192.50099999999949</v>
      </c>
      <c r="I21" s="12">
        <f t="shared" si="20"/>
        <v>-300.88199999999989</v>
      </c>
      <c r="J21" s="12">
        <f>J13+J17-SUM(J18:J20)</f>
        <v>304.92899999999906</v>
      </c>
      <c r="K21" s="12">
        <f t="shared" si="20"/>
        <v>-57.668999999999016</v>
      </c>
      <c r="L21" s="116">
        <f>L13+L17-SUM(L18:L20)</f>
        <v>-34.665000000000077</v>
      </c>
      <c r="N21" s="62"/>
      <c r="O21" s="83" t="s">
        <v>19</v>
      </c>
      <c r="P21" s="5">
        <v>0.215</v>
      </c>
      <c r="Q21" s="5">
        <v>0.215</v>
      </c>
      <c r="R21" s="5">
        <v>0.215</v>
      </c>
      <c r="S21" s="5">
        <v>0.215</v>
      </c>
      <c r="T21" s="5">
        <v>0.215</v>
      </c>
      <c r="U21" s="5">
        <v>28.571000000000002</v>
      </c>
      <c r="V21" s="63">
        <v>42.854999999999997</v>
      </c>
      <c r="W21" s="63">
        <v>40.503</v>
      </c>
      <c r="X21" s="122">
        <v>38.868000000000002</v>
      </c>
      <c r="Z21" s="109"/>
    </row>
    <row r="22" spans="1:28">
      <c r="A22" s="69" t="s">
        <v>56</v>
      </c>
      <c r="B22" s="5">
        <f>64-0.208-0.436+12.37</f>
        <v>75.725999999999999</v>
      </c>
      <c r="C22" s="5">
        <f>31.137+12.124</f>
        <v>43.261000000000003</v>
      </c>
      <c r="D22" s="5">
        <f>32.727+14.248</f>
        <v>46.974999999999994</v>
      </c>
      <c r="E22" s="5">
        <f>18.698+21.097</f>
        <v>39.795000000000002</v>
      </c>
      <c r="F22" s="5">
        <f>53.011-29.818</f>
        <v>23.193000000000001</v>
      </c>
      <c r="G22" s="5">
        <f>126.52+3.191</f>
        <v>129.71099999999998</v>
      </c>
      <c r="H22" s="5">
        <f>48.567+1.111</f>
        <v>49.677999999999997</v>
      </c>
      <c r="I22" s="5">
        <v>-72.957999999999998</v>
      </c>
      <c r="J22" s="5">
        <v>86.313999999999993</v>
      </c>
      <c r="K22" s="5">
        <v>-17.273</v>
      </c>
      <c r="L22" s="70">
        <f>0.856-2.972</f>
        <v>-2.1160000000000001</v>
      </c>
      <c r="N22" s="63"/>
      <c r="O22" s="83" t="s">
        <v>36</v>
      </c>
      <c r="P22" s="5">
        <v>17.998000000000001</v>
      </c>
      <c r="Q22" s="5">
        <v>20.821999999999999</v>
      </c>
      <c r="R22" s="5">
        <v>24.521999999999998</v>
      </c>
      <c r="S22" s="5">
        <v>25.91</v>
      </c>
      <c r="T22" s="5">
        <v>0</v>
      </c>
      <c r="U22" s="5"/>
      <c r="V22" s="63">
        <v>0</v>
      </c>
      <c r="W22" s="63">
        <v>0</v>
      </c>
      <c r="X22" s="120"/>
      <c r="Z22" s="109"/>
    </row>
    <row r="23" spans="1:28">
      <c r="A23" s="88" t="s">
        <v>57</v>
      </c>
      <c r="B23" s="10">
        <f t="shared" ref="B23:F23" si="21">B22/B21</f>
        <v>0.41315532470933464</v>
      </c>
      <c r="C23" s="10">
        <f t="shared" si="21"/>
        <v>0.34676210553315467</v>
      </c>
      <c r="D23" s="10">
        <f t="shared" si="21"/>
        <v>0.33815399234069526</v>
      </c>
      <c r="E23" s="10">
        <f t="shared" si="21"/>
        <v>0.39849593943703271</v>
      </c>
      <c r="F23" s="10">
        <f t="shared" si="21"/>
        <v>0.10850881666300188</v>
      </c>
      <c r="G23" s="10">
        <f t="shared" ref="G23:K23" si="22">G22/G21</f>
        <v>0.25434975714305336</v>
      </c>
      <c r="H23" s="10">
        <f t="shared" si="22"/>
        <v>0.25806619186393903</v>
      </c>
      <c r="I23" s="10">
        <f t="shared" si="22"/>
        <v>0.24248044083727183</v>
      </c>
      <c r="J23" s="10">
        <f t="shared" si="22"/>
        <v>0.28306261457585291</v>
      </c>
      <c r="K23" s="10">
        <f t="shared" si="22"/>
        <v>0.29951967261440798</v>
      </c>
      <c r="L23" s="112">
        <f>L22/L21</f>
        <v>6.104139622097203E-2</v>
      </c>
      <c r="N23" s="64"/>
      <c r="O23" s="83" t="s">
        <v>14</v>
      </c>
      <c r="P23" s="5">
        <v>4.1840000000000002</v>
      </c>
      <c r="Q23" s="5">
        <v>7.3999999999999996E-2</v>
      </c>
      <c r="R23" s="5">
        <v>0</v>
      </c>
      <c r="S23" s="5">
        <v>5.6</v>
      </c>
      <c r="T23" s="5">
        <v>22.404</v>
      </c>
      <c r="U23" s="5">
        <v>20.766999999999999</v>
      </c>
      <c r="V23" s="63">
        <v>33.573</v>
      </c>
      <c r="W23" s="63">
        <v>38.965000000000003</v>
      </c>
      <c r="X23" s="122">
        <v>35.191000000000003</v>
      </c>
      <c r="Z23" s="109"/>
      <c r="AB23" s="2"/>
    </row>
    <row r="24" spans="1:28">
      <c r="A24" s="96" t="s">
        <v>106</v>
      </c>
      <c r="B24" s="13">
        <f t="shared" ref="B24:F24" si="23">B21-B22</f>
        <v>107.56100000000043</v>
      </c>
      <c r="C24" s="13">
        <f t="shared" si="23"/>
        <v>81.496000000000663</v>
      </c>
      <c r="D24" s="13">
        <f t="shared" si="23"/>
        <v>91.940999999999917</v>
      </c>
      <c r="E24" s="13">
        <f t="shared" si="23"/>
        <v>60.067999999999003</v>
      </c>
      <c r="F24" s="13">
        <f t="shared" si="23"/>
        <v>190.5499999999999</v>
      </c>
      <c r="G24" s="13">
        <f t="shared" ref="G24:K24" si="24">G21-G22</f>
        <v>380.25999999999965</v>
      </c>
      <c r="H24" s="13">
        <f t="shared" si="24"/>
        <v>142.8229999999995</v>
      </c>
      <c r="I24" s="13">
        <f t="shared" si="24"/>
        <v>-227.92399999999989</v>
      </c>
      <c r="J24" s="13">
        <f t="shared" si="24"/>
        <v>218.61499999999907</v>
      </c>
      <c r="K24" s="13">
        <f t="shared" si="24"/>
        <v>-40.39599999999902</v>
      </c>
      <c r="L24" s="84">
        <v>-22.548999999999999</v>
      </c>
      <c r="N24" s="62"/>
      <c r="O24" s="69" t="s">
        <v>15</v>
      </c>
      <c r="P24" s="5">
        <v>0</v>
      </c>
      <c r="Q24" s="5">
        <v>4.0460000000000003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120"/>
      <c r="AB24" s="2"/>
    </row>
    <row r="25" spans="1:28">
      <c r="A25" s="92" t="s">
        <v>107</v>
      </c>
      <c r="B25" s="12">
        <f t="shared" ref="B25" si="25">B17+B21-SUM(B22:B24)</f>
        <v>16.691844675290639</v>
      </c>
      <c r="C25" s="12"/>
      <c r="D25" s="12"/>
      <c r="E25" s="12"/>
      <c r="F25" s="12">
        <v>-5.9749999999999996</v>
      </c>
      <c r="G25" s="12">
        <v>-23.315000000000001</v>
      </c>
      <c r="H25" s="55">
        <v>55.133000000000003</v>
      </c>
      <c r="I25" s="55">
        <v>-2.1150000000000002</v>
      </c>
      <c r="J25" s="55">
        <v>0</v>
      </c>
      <c r="K25" s="55">
        <v>0</v>
      </c>
      <c r="L25" s="117"/>
      <c r="N25" s="65"/>
      <c r="O25" s="157" t="s">
        <v>10</v>
      </c>
      <c r="P25" s="13">
        <f t="shared" ref="P25:S25" si="26">SUM(P17:P24)</f>
        <v>861.95500000000004</v>
      </c>
      <c r="Q25" s="13">
        <f t="shared" si="26"/>
        <v>1017.917</v>
      </c>
      <c r="R25" s="13">
        <f t="shared" si="26"/>
        <v>1096.9139999999998</v>
      </c>
      <c r="S25" s="13">
        <f t="shared" si="26"/>
        <v>1117.3579999999999</v>
      </c>
      <c r="T25" s="13">
        <f>SUM(T17:T24)</f>
        <v>1218.7829999999999</v>
      </c>
      <c r="U25" s="13">
        <f t="shared" ref="U25:X25" si="27">SUM(U17:U24)</f>
        <v>1453.626</v>
      </c>
      <c r="V25" s="13">
        <f t="shared" si="27"/>
        <v>1761.9390000000001</v>
      </c>
      <c r="W25" s="13">
        <f t="shared" si="27"/>
        <v>1931.6949999999999</v>
      </c>
      <c r="X25" s="84">
        <f t="shared" si="27"/>
        <v>2012.2919999999999</v>
      </c>
      <c r="Z25" s="110"/>
    </row>
    <row r="26" spans="1:28">
      <c r="A26" s="69" t="s">
        <v>56</v>
      </c>
      <c r="B26" s="5">
        <f>64-0.208-0.436+12.37</f>
        <v>75.725999999999999</v>
      </c>
      <c r="C26" s="5"/>
      <c r="D26" s="5"/>
      <c r="E26" s="5"/>
      <c r="F26" s="5">
        <v>-0.33100000000000002</v>
      </c>
      <c r="G26" s="5">
        <v>-3.629</v>
      </c>
      <c r="H26" s="54">
        <f>2.241-3.608</f>
        <v>-1.367</v>
      </c>
      <c r="I26" s="54">
        <v>1.36</v>
      </c>
      <c r="J26" s="54">
        <v>0</v>
      </c>
      <c r="K26" s="54">
        <v>0</v>
      </c>
      <c r="L26" s="113"/>
      <c r="N26" s="59"/>
      <c r="O26" s="69"/>
      <c r="P26" s="4"/>
      <c r="Q26" s="4"/>
      <c r="R26" s="4"/>
      <c r="S26" s="5"/>
      <c r="T26" s="5"/>
      <c r="U26" s="5"/>
      <c r="V26" s="140"/>
      <c r="W26" s="140"/>
      <c r="X26" s="120"/>
      <c r="Z26" s="109"/>
    </row>
    <row r="27" spans="1:28">
      <c r="A27" s="78" t="s">
        <v>108</v>
      </c>
      <c r="B27" s="67">
        <f t="shared" ref="B27:G27" si="28">B25-B26</f>
        <v>-59.03415532470936</v>
      </c>
      <c r="C27" s="67">
        <f t="shared" si="28"/>
        <v>0</v>
      </c>
      <c r="D27" s="67">
        <f t="shared" si="28"/>
        <v>0</v>
      </c>
      <c r="E27" s="67">
        <f t="shared" si="28"/>
        <v>0</v>
      </c>
      <c r="F27" s="67">
        <f t="shared" si="28"/>
        <v>-5.6439999999999992</v>
      </c>
      <c r="G27" s="67">
        <f t="shared" si="28"/>
        <v>-19.686</v>
      </c>
      <c r="H27" s="67">
        <f>H25-H26</f>
        <v>56.5</v>
      </c>
      <c r="I27" s="67">
        <f>I25-I26</f>
        <v>-3.4750000000000005</v>
      </c>
      <c r="J27" s="67">
        <f>J24</f>
        <v>218.61499999999907</v>
      </c>
      <c r="K27" s="67">
        <v>-40.39</v>
      </c>
      <c r="L27" s="80">
        <v>-22.548999999999999</v>
      </c>
      <c r="N27" s="62"/>
      <c r="O27" s="81" t="s">
        <v>16</v>
      </c>
      <c r="P27" s="5"/>
      <c r="Q27" s="5"/>
      <c r="R27" s="5"/>
      <c r="S27" s="5"/>
      <c r="T27" s="5"/>
      <c r="U27" s="5"/>
      <c r="V27" s="140"/>
      <c r="W27" s="140"/>
      <c r="X27" s="120"/>
      <c r="Z27" s="109"/>
    </row>
    <row r="28" spans="1:28">
      <c r="A28" s="93" t="s">
        <v>155</v>
      </c>
      <c r="B28" s="97"/>
      <c r="C28" s="97"/>
      <c r="D28" s="97"/>
      <c r="E28" s="97"/>
      <c r="F28" s="97"/>
      <c r="G28" s="97"/>
      <c r="H28" s="97"/>
      <c r="I28" s="97">
        <v>-2.5000000000000001E-2</v>
      </c>
      <c r="J28" s="97">
        <v>0.68300000000000005</v>
      </c>
      <c r="K28" s="97">
        <v>-2.3519999999999999</v>
      </c>
      <c r="L28" s="118">
        <v>-1.6339999999999999</v>
      </c>
      <c r="N28" s="62"/>
      <c r="O28" s="81"/>
      <c r="P28" s="5"/>
      <c r="Q28" s="5"/>
      <c r="R28" s="5"/>
      <c r="S28" s="5"/>
      <c r="T28" s="5"/>
      <c r="U28" s="5"/>
      <c r="V28" s="140"/>
      <c r="W28" s="140"/>
      <c r="X28" s="120"/>
      <c r="Z28" s="109"/>
    </row>
    <row r="29" spans="1:28">
      <c r="A29" s="96" t="s">
        <v>109</v>
      </c>
      <c r="B29" s="13">
        <f>B26-B27</f>
        <v>134.76015532470936</v>
      </c>
      <c r="C29" s="13">
        <f t="shared" ref="C29:E29" si="29">C24+C27</f>
        <v>81.496000000000663</v>
      </c>
      <c r="D29" s="13">
        <f t="shared" si="29"/>
        <v>91.940999999999917</v>
      </c>
      <c r="E29" s="13">
        <f t="shared" si="29"/>
        <v>60.067999999999003</v>
      </c>
      <c r="F29" s="13">
        <f>F24+F27</f>
        <v>184.90599999999989</v>
      </c>
      <c r="G29" s="13">
        <f>G24+G27</f>
        <v>360.57399999999967</v>
      </c>
      <c r="H29" s="13">
        <f>H24+H27</f>
        <v>199.3229999999995</v>
      </c>
      <c r="I29" s="13">
        <f>I24+I27+I28</f>
        <v>-231.42399999999989</v>
      </c>
      <c r="J29" s="13">
        <f>J27+J28</f>
        <v>219.29799999999906</v>
      </c>
      <c r="K29" s="13">
        <f>K27+K28</f>
        <v>-42.741999999999997</v>
      </c>
      <c r="L29" s="84">
        <f>L27+L28</f>
        <v>-24.183</v>
      </c>
      <c r="N29" s="62"/>
      <c r="O29" s="69" t="s">
        <v>17</v>
      </c>
      <c r="P29" s="5">
        <v>975.45299999999997</v>
      </c>
      <c r="Q29" s="5">
        <v>1130.992</v>
      </c>
      <c r="R29" s="5">
        <v>1356.16</v>
      </c>
      <c r="S29" s="5">
        <v>1617.1880000000001</v>
      </c>
      <c r="T29" s="5">
        <v>2065.6419999999998</v>
      </c>
      <c r="U29" s="5">
        <v>1594.3710000000001</v>
      </c>
      <c r="V29" s="63">
        <v>1557.404</v>
      </c>
      <c r="W29" s="63">
        <v>1589.894</v>
      </c>
      <c r="X29" s="122">
        <v>1340.6669999999999</v>
      </c>
      <c r="Z29" s="109"/>
    </row>
    <row r="30" spans="1:28">
      <c r="A30" s="88" t="s">
        <v>58</v>
      </c>
      <c r="B30" s="10">
        <f>B24/B4</f>
        <v>2.0093269564509224E-2</v>
      </c>
      <c r="C30" s="89">
        <f t="shared" ref="C30:F30" si="30">C29/C4</f>
        <v>1.8854266027549089E-2</v>
      </c>
      <c r="D30" s="89">
        <f t="shared" si="30"/>
        <v>1.9834123468125076E-2</v>
      </c>
      <c r="E30" s="89">
        <f t="shared" si="30"/>
        <v>1.0221568858009905E-2</v>
      </c>
      <c r="F30" s="89">
        <f t="shared" si="30"/>
        <v>3.4612506933040153E-2</v>
      </c>
      <c r="G30" s="89">
        <f t="shared" ref="G30:K30" si="31">G29/G4</f>
        <v>6.120085205332966E-2</v>
      </c>
      <c r="H30" s="89">
        <f t="shared" si="31"/>
        <v>3.6590510401667053E-2</v>
      </c>
      <c r="I30" s="89">
        <f t="shared" si="31"/>
        <v>-3.1594841591646924E-2</v>
      </c>
      <c r="J30" s="89">
        <f t="shared" si="31"/>
        <v>2.5304799843900275E-2</v>
      </c>
      <c r="K30" s="89">
        <f t="shared" si="31"/>
        <v>-5.9207080580612253E-3</v>
      </c>
      <c r="L30" s="115">
        <f>L29/L4</f>
        <v>-7.806245771334425E-3</v>
      </c>
      <c r="N30" s="61"/>
      <c r="O30" s="82" t="s">
        <v>13</v>
      </c>
      <c r="P30" s="5"/>
      <c r="Q30" s="5"/>
      <c r="R30" s="5"/>
      <c r="S30" s="5"/>
      <c r="T30" s="5"/>
      <c r="U30" s="5"/>
      <c r="V30" s="140"/>
      <c r="W30" s="140"/>
      <c r="X30" s="120"/>
      <c r="Z30" s="109"/>
    </row>
    <row r="31" spans="1:28">
      <c r="A31" s="88" t="s">
        <v>45</v>
      </c>
      <c r="B31" s="10"/>
      <c r="C31" s="10">
        <f t="shared" ref="C31" si="32">C30/B30-1</f>
        <v>-6.1662614587552733E-2</v>
      </c>
      <c r="D31" s="10">
        <f t="shared" ref="D31" si="33">D30/C30-1</f>
        <v>5.1970065509007846E-2</v>
      </c>
      <c r="E31" s="10">
        <f>E30/D30-1</f>
        <v>-0.48464731126451177</v>
      </c>
      <c r="F31" s="10">
        <f t="shared" ref="F31:I31" si="34">F24/E24-1</f>
        <v>2.1722381301192493</v>
      </c>
      <c r="G31" s="10">
        <f t="shared" si="34"/>
        <v>0.99559170821306675</v>
      </c>
      <c r="H31" s="10">
        <f t="shared" si="34"/>
        <v>-0.62440698469468359</v>
      </c>
      <c r="I31" s="10">
        <f t="shared" si="34"/>
        <v>-2.5958494080085188</v>
      </c>
      <c r="J31" s="10">
        <f>J24/I24-1</f>
        <v>-1.9591574384443902</v>
      </c>
      <c r="K31" s="10">
        <f>K24/J24-1</f>
        <v>-1.1847814651327639</v>
      </c>
      <c r="L31" s="112"/>
      <c r="N31" s="57"/>
      <c r="O31" s="83" t="s">
        <v>18</v>
      </c>
      <c r="P31" s="5">
        <v>484.101</v>
      </c>
      <c r="Q31" s="5">
        <v>682.41499999999996</v>
      </c>
      <c r="R31" s="5">
        <v>729.18</v>
      </c>
      <c r="S31" s="5">
        <v>386.803</v>
      </c>
      <c r="T31" s="5">
        <v>323.536</v>
      </c>
      <c r="U31" s="5">
        <v>534.33399999999995</v>
      </c>
      <c r="V31" s="63">
        <v>667.43799999999999</v>
      </c>
      <c r="W31" s="63">
        <v>486.17700000000002</v>
      </c>
      <c r="X31" s="122">
        <v>271.50299999999999</v>
      </c>
      <c r="Z31" s="109"/>
    </row>
    <row r="32" spans="1:28">
      <c r="A32" s="88" t="s">
        <v>46</v>
      </c>
      <c r="B32" s="11"/>
      <c r="C32" s="11"/>
      <c r="D32" s="11"/>
      <c r="E32" s="10">
        <f t="shared" ref="E32:I32" si="35">((E24/B24)^(1/3)-1)</f>
        <v>-0.17650156096544101</v>
      </c>
      <c r="F32" s="10">
        <f t="shared" si="35"/>
        <v>0.32726472839232379</v>
      </c>
      <c r="G32" s="10">
        <f t="shared" si="35"/>
        <v>0.60518024763895806</v>
      </c>
      <c r="H32" s="10">
        <f t="shared" si="35"/>
        <v>0.33470409533295897</v>
      </c>
      <c r="I32" s="10">
        <f t="shared" si="35"/>
        <v>-2.0615171986507188</v>
      </c>
      <c r="J32" s="10">
        <f>((J24/G24)^(1/3)-1)</f>
        <v>-0.16849198883708461</v>
      </c>
      <c r="K32" s="10">
        <f>((K24/H24)^(1/3)-1)</f>
        <v>-1.6564173790985892</v>
      </c>
      <c r="L32" s="112"/>
      <c r="N32" s="57"/>
      <c r="O32" s="83" t="s">
        <v>20</v>
      </c>
      <c r="P32" s="5">
        <v>15.977</v>
      </c>
      <c r="Q32" s="5">
        <v>0.373</v>
      </c>
      <c r="R32" s="5">
        <v>0.48099999999999998</v>
      </c>
      <c r="S32" s="5">
        <v>0.21</v>
      </c>
      <c r="T32" s="5">
        <v>1.5169999999999999</v>
      </c>
      <c r="U32" s="5">
        <v>0.63200000000000001</v>
      </c>
      <c r="V32" s="63">
        <v>2.9769999999999999</v>
      </c>
      <c r="W32" s="63">
        <v>0.83899999999999997</v>
      </c>
      <c r="X32" s="122">
        <v>8.6479999999999997</v>
      </c>
      <c r="Z32" s="109"/>
    </row>
    <row r="33" spans="1:29">
      <c r="A33" s="69" t="s">
        <v>59</v>
      </c>
      <c r="B33" s="5"/>
      <c r="C33" s="5">
        <v>-8.9589999999999996</v>
      </c>
      <c r="D33" s="5">
        <v>-0.61499999999999999</v>
      </c>
      <c r="E33" s="5">
        <v>-0.11700000000000001</v>
      </c>
      <c r="F33" s="5">
        <v>1.698</v>
      </c>
      <c r="G33" s="5">
        <v>0.40500000000000003</v>
      </c>
      <c r="H33" s="5">
        <v>-1.6419999999999999</v>
      </c>
      <c r="I33" s="5">
        <v>0.214</v>
      </c>
      <c r="J33" s="5">
        <v>-3.7490000000000001</v>
      </c>
      <c r="K33" s="5">
        <v>-0.82899999999999996</v>
      </c>
      <c r="L33" s="70">
        <v>-0.41399999999999998</v>
      </c>
      <c r="N33" s="56"/>
      <c r="O33" s="83" t="s">
        <v>21</v>
      </c>
      <c r="P33" s="5">
        <v>98.87</v>
      </c>
      <c r="Q33" s="5">
        <v>121.08799999999999</v>
      </c>
      <c r="R33" s="5">
        <v>138.893</v>
      </c>
      <c r="S33" s="5">
        <v>219.374</v>
      </c>
      <c r="T33" s="5">
        <v>137.25</v>
      </c>
      <c r="U33" s="5">
        <v>130.58500000000001</v>
      </c>
      <c r="V33" s="63">
        <v>203.495</v>
      </c>
      <c r="W33" s="63">
        <v>285.82</v>
      </c>
      <c r="X33" s="122">
        <v>186.249</v>
      </c>
      <c r="Z33" s="109"/>
    </row>
    <row r="34" spans="1:29">
      <c r="A34" s="79" t="s">
        <v>65</v>
      </c>
      <c r="B34" s="4">
        <f>B24+B33</f>
        <v>107.56100000000043</v>
      </c>
      <c r="C34" s="4">
        <f t="shared" ref="C34:H34" si="36">C29+C33</f>
        <v>72.53700000000066</v>
      </c>
      <c r="D34" s="4">
        <f t="shared" si="36"/>
        <v>91.325999999999922</v>
      </c>
      <c r="E34" s="4">
        <f t="shared" si="36"/>
        <v>59.950999999999006</v>
      </c>
      <c r="F34" s="4">
        <f t="shared" si="36"/>
        <v>186.6039999999999</v>
      </c>
      <c r="G34" s="4">
        <f t="shared" si="36"/>
        <v>360.97899999999964</v>
      </c>
      <c r="H34" s="4">
        <f t="shared" si="36"/>
        <v>197.6809999999995</v>
      </c>
      <c r="I34" s="4">
        <f>I29+I33</f>
        <v>-231.20999999999989</v>
      </c>
      <c r="J34" s="4">
        <f>J29+J33</f>
        <v>215.54899999999907</v>
      </c>
      <c r="K34" s="4">
        <f>K29+K33</f>
        <v>-43.570999999999998</v>
      </c>
      <c r="L34" s="119">
        <v>-24.597999999999999</v>
      </c>
      <c r="N34" s="62"/>
      <c r="O34" s="83" t="s">
        <v>36</v>
      </c>
      <c r="P34" s="5">
        <v>113.223</v>
      </c>
      <c r="Q34" s="5">
        <v>149.57900000000001</v>
      </c>
      <c r="R34" s="5">
        <v>195.85400000000001</v>
      </c>
      <c r="S34" s="5">
        <v>74.918999999999997</v>
      </c>
      <c r="T34" s="5">
        <v>22.443999999999999</v>
      </c>
      <c r="U34" s="5">
        <v>0</v>
      </c>
      <c r="V34" s="63">
        <v>0</v>
      </c>
      <c r="W34" s="63">
        <v>0</v>
      </c>
      <c r="X34" s="122">
        <v>0</v>
      </c>
      <c r="Z34" s="109"/>
    </row>
    <row r="35" spans="1:29">
      <c r="A35" s="88" t="s">
        <v>45</v>
      </c>
      <c r="B35" s="10"/>
      <c r="C35" s="10">
        <f t="shared" ref="C35:E35" si="37">C34/B34-1</f>
        <v>-0.32561988081181503</v>
      </c>
      <c r="D35" s="10">
        <f t="shared" si="37"/>
        <v>0.25902642789195984</v>
      </c>
      <c r="E35" s="10">
        <f t="shared" si="37"/>
        <v>-0.34354948207521341</v>
      </c>
      <c r="F35" s="10">
        <f t="shared" ref="F35:I35" si="38">F34/E34-1</f>
        <v>2.1126086303815281</v>
      </c>
      <c r="G35" s="10">
        <f t="shared" si="38"/>
        <v>0.93446549913185062</v>
      </c>
      <c r="H35" s="10">
        <f t="shared" si="38"/>
        <v>-0.45237534593425188</v>
      </c>
      <c r="I35" s="10">
        <f t="shared" si="38"/>
        <v>-2.1696116470475184</v>
      </c>
      <c r="J35" s="10">
        <f>J34/I34-1</f>
        <v>-1.9322650404394237</v>
      </c>
      <c r="K35" s="10">
        <f>K34/J34-1</f>
        <v>-1.2021396527007788</v>
      </c>
      <c r="L35" s="112"/>
      <c r="N35" s="57"/>
      <c r="O35" s="83" t="s">
        <v>158</v>
      </c>
      <c r="P35" s="140"/>
      <c r="Q35" s="140"/>
      <c r="R35" s="140"/>
      <c r="S35" s="140"/>
      <c r="T35" s="140"/>
      <c r="U35" s="5">
        <v>20.576000000000001</v>
      </c>
      <c r="V35" s="63">
        <v>3.97</v>
      </c>
      <c r="W35" s="63">
        <v>33.048999999999999</v>
      </c>
      <c r="X35" s="122">
        <v>34.747999999999998</v>
      </c>
      <c r="Z35" s="109"/>
    </row>
    <row r="36" spans="1:29">
      <c r="A36" s="88" t="s">
        <v>46</v>
      </c>
      <c r="B36" s="11"/>
      <c r="C36" s="11"/>
      <c r="D36" s="11"/>
      <c r="E36" s="10">
        <f t="shared" ref="E36:I36" si="39">((E34/B34)^(1/3)-1)</f>
        <v>-0.17703657651063875</v>
      </c>
      <c r="F36" s="10">
        <f t="shared" si="39"/>
        <v>0.37020995871562223</v>
      </c>
      <c r="G36" s="10">
        <f t="shared" si="39"/>
        <v>0.58111151064396083</v>
      </c>
      <c r="H36" s="10">
        <f t="shared" si="39"/>
        <v>0.48841086832444147</v>
      </c>
      <c r="I36" s="10">
        <f t="shared" si="39"/>
        <v>-2.0740600296094152</v>
      </c>
      <c r="J36" s="10">
        <f>((J34/G34)^(1/3)-1)</f>
        <v>-0.15791740382914998</v>
      </c>
      <c r="K36" s="10">
        <f>((K34/H34)^(1/3)-1)</f>
        <v>-1.6040564593706426</v>
      </c>
      <c r="L36" s="112"/>
      <c r="N36" s="57"/>
      <c r="O36" s="69" t="s">
        <v>22</v>
      </c>
      <c r="P36" s="5">
        <v>27.695</v>
      </c>
      <c r="Q36" s="5">
        <v>12.494</v>
      </c>
      <c r="R36" s="5">
        <v>12.368</v>
      </c>
      <c r="S36" s="5">
        <v>214.22</v>
      </c>
      <c r="T36" s="5">
        <f>11.421+309.205</f>
        <v>320.62599999999998</v>
      </c>
      <c r="U36" s="5">
        <v>379.95600000000002</v>
      </c>
      <c r="V36" s="63">
        <v>339.93299999999999</v>
      </c>
      <c r="W36" s="63">
        <v>392.35199999999998</v>
      </c>
      <c r="X36" s="122">
        <v>360.06</v>
      </c>
      <c r="Z36" s="109"/>
    </row>
    <row r="37" spans="1:29">
      <c r="A37" s="69" t="s">
        <v>60</v>
      </c>
      <c r="B37" s="63"/>
      <c r="C37" s="63"/>
      <c r="D37" s="63"/>
      <c r="E37" s="63"/>
      <c r="F37" s="63"/>
      <c r="G37" s="63"/>
      <c r="H37" s="140"/>
      <c r="I37" s="140"/>
      <c r="J37" s="140"/>
      <c r="K37" s="140"/>
      <c r="L37" s="120"/>
      <c r="O37" s="157" t="s">
        <v>16</v>
      </c>
      <c r="P37" s="13">
        <f t="shared" ref="P37:U37" si="40">SUM(P29:P36)</f>
        <v>1715.3190000000002</v>
      </c>
      <c r="Q37" s="13">
        <f t="shared" si="40"/>
        <v>2096.9410000000003</v>
      </c>
      <c r="R37" s="13">
        <f t="shared" si="40"/>
        <v>2432.9360000000001</v>
      </c>
      <c r="S37" s="13">
        <f t="shared" si="40"/>
        <v>2512.7139999999995</v>
      </c>
      <c r="T37" s="13">
        <f t="shared" si="40"/>
        <v>2871.0149999999994</v>
      </c>
      <c r="U37" s="13">
        <f t="shared" si="40"/>
        <v>2660.4540000000002</v>
      </c>
      <c r="V37" s="13">
        <f>SUM(V29:V36)</f>
        <v>2775.2169999999996</v>
      </c>
      <c r="W37" s="13">
        <f>SUM(W29:W36)</f>
        <v>2788.1309999999999</v>
      </c>
      <c r="X37" s="84">
        <f>SUM(X29:X36)</f>
        <v>2201.875</v>
      </c>
      <c r="Z37" s="110"/>
    </row>
    <row r="38" spans="1:29">
      <c r="A38" s="83" t="s">
        <v>66</v>
      </c>
      <c r="B38" s="5">
        <v>2.17</v>
      </c>
      <c r="C38" s="5">
        <v>1.64</v>
      </c>
      <c r="D38" s="5">
        <v>1.85</v>
      </c>
      <c r="E38" s="5">
        <v>1.21</v>
      </c>
      <c r="F38" s="5">
        <v>3.73</v>
      </c>
      <c r="G38" s="94">
        <v>7.27</v>
      </c>
      <c r="H38" s="5">
        <v>4.0199999999999996</v>
      </c>
      <c r="I38" s="5">
        <v>-4.6399999999999997</v>
      </c>
      <c r="J38" s="5">
        <v>4.42</v>
      </c>
      <c r="K38" s="5">
        <v>-0.84</v>
      </c>
      <c r="L38" s="70">
        <v>-0.43</v>
      </c>
      <c r="O38" s="69"/>
      <c r="P38" s="5"/>
      <c r="Q38" s="5"/>
      <c r="R38" s="5"/>
      <c r="S38" s="5"/>
      <c r="T38" s="5"/>
      <c r="U38" s="5"/>
      <c r="V38" s="140"/>
      <c r="W38" s="140"/>
      <c r="X38" s="120"/>
      <c r="Z38" s="109"/>
    </row>
    <row r="39" spans="1:29">
      <c r="A39" s="83" t="s">
        <v>67</v>
      </c>
      <c r="B39" s="5">
        <v>2.17</v>
      </c>
      <c r="C39" s="5">
        <v>1.64</v>
      </c>
      <c r="D39" s="5">
        <v>1.85</v>
      </c>
      <c r="E39" s="5">
        <v>1.21</v>
      </c>
      <c r="F39" s="5">
        <v>3.73</v>
      </c>
      <c r="G39" s="94">
        <v>7.27</v>
      </c>
      <c r="H39" s="5">
        <v>4.0199999999999996</v>
      </c>
      <c r="I39" s="5">
        <v>-4.6399999999999997</v>
      </c>
      <c r="J39" s="5">
        <v>4.42</v>
      </c>
      <c r="K39" s="5">
        <v>-0.76</v>
      </c>
      <c r="L39" s="70">
        <v>-0.43</v>
      </c>
      <c r="O39" s="79" t="s">
        <v>111</v>
      </c>
      <c r="P39" s="62">
        <v>0</v>
      </c>
      <c r="Q39" s="62">
        <v>0</v>
      </c>
      <c r="R39" s="62">
        <v>0</v>
      </c>
      <c r="S39" s="62">
        <v>18.303000000000001</v>
      </c>
      <c r="T39" s="62">
        <v>2.4790000000000001</v>
      </c>
      <c r="U39" s="62">
        <v>0</v>
      </c>
      <c r="V39" s="63">
        <v>0</v>
      </c>
      <c r="W39" s="63">
        <v>0</v>
      </c>
      <c r="X39" s="120"/>
      <c r="Z39" s="110"/>
    </row>
    <row r="40" spans="1:29">
      <c r="A40" s="88" t="s">
        <v>45</v>
      </c>
      <c r="B40" s="10"/>
      <c r="C40" s="10"/>
      <c r="D40" s="10">
        <f t="shared" ref="D40:E40" si="41">D39/C39-1</f>
        <v>0.12804878048780499</v>
      </c>
      <c r="E40" s="10">
        <f t="shared" si="41"/>
        <v>-0.34594594594594597</v>
      </c>
      <c r="F40" s="10">
        <f t="shared" ref="F40:I40" si="42">F39/E39-1</f>
        <v>2.0826446280991737</v>
      </c>
      <c r="G40" s="10">
        <f t="shared" si="42"/>
        <v>0.94906166219839139</v>
      </c>
      <c r="H40" s="10">
        <f t="shared" si="42"/>
        <v>-0.44704264099037139</v>
      </c>
      <c r="I40" s="10">
        <f t="shared" si="42"/>
        <v>-2.1542288557213931</v>
      </c>
      <c r="J40" s="10">
        <f>J39/I39-1</f>
        <v>-1.9525862068965518</v>
      </c>
      <c r="K40" s="10">
        <f>K39/J39-1</f>
        <v>-1.1719457013574661</v>
      </c>
      <c r="L40" s="112"/>
      <c r="N40" s="57"/>
      <c r="O40" s="69"/>
      <c r="P40" s="5"/>
      <c r="Q40" s="5"/>
      <c r="R40" s="5"/>
      <c r="S40" s="5"/>
      <c r="T40" s="5"/>
      <c r="U40" s="5"/>
      <c r="V40" s="140"/>
      <c r="W40" s="140"/>
      <c r="X40" s="120"/>
      <c r="Z40" s="109"/>
    </row>
    <row r="41" spans="1:29" ht="15" thickBot="1">
      <c r="A41" s="98" t="s">
        <v>46</v>
      </c>
      <c r="B41" s="99"/>
      <c r="C41" s="99"/>
      <c r="D41" s="99"/>
      <c r="E41" s="100">
        <f t="shared" ref="E41:I41" si="43">((E39/B39)^(1/3)-1)</f>
        <v>-0.17692032234412858</v>
      </c>
      <c r="F41" s="100">
        <f t="shared" si="43"/>
        <v>0.31508854409204945</v>
      </c>
      <c r="G41" s="100">
        <f t="shared" si="43"/>
        <v>0.57805048901455658</v>
      </c>
      <c r="H41" s="100">
        <f t="shared" si="43"/>
        <v>0.49215370265482861</v>
      </c>
      <c r="I41" s="100">
        <f t="shared" si="43"/>
        <v>-2.0754817608955283</v>
      </c>
      <c r="J41" s="100">
        <f>((J39/G39)^(1/3)-1)</f>
        <v>-0.15284550510103379</v>
      </c>
      <c r="K41" s="100">
        <f>((K39/H39)^(1/3)-1)</f>
        <v>-1.5739347398441081</v>
      </c>
      <c r="L41" s="121"/>
      <c r="N41" s="57"/>
      <c r="O41" s="82" t="s">
        <v>23</v>
      </c>
      <c r="P41" s="5"/>
      <c r="Q41" s="5"/>
      <c r="R41" s="5"/>
      <c r="S41" s="5"/>
      <c r="T41" s="5"/>
      <c r="U41" s="5"/>
      <c r="V41" s="140"/>
      <c r="W41" s="140"/>
      <c r="X41" s="120"/>
      <c r="Z41" s="109"/>
      <c r="AA41" s="2">
        <f>V6</f>
        <v>1516.703</v>
      </c>
      <c r="AC41" t="s">
        <v>163</v>
      </c>
    </row>
    <row r="42" spans="1:29" ht="15" thickBot="1">
      <c r="A42" s="69"/>
      <c r="O42" s="69" t="s">
        <v>159</v>
      </c>
      <c r="P42" s="140"/>
      <c r="Q42" s="140"/>
      <c r="R42" s="140"/>
      <c r="S42" s="140"/>
      <c r="T42" s="140"/>
      <c r="U42" s="140"/>
      <c r="V42" s="5"/>
      <c r="W42" s="5"/>
      <c r="X42" s="120"/>
      <c r="Z42" s="109"/>
    </row>
    <row r="43" spans="1:29" ht="15" thickBot="1">
      <c r="A43" s="154" t="s">
        <v>69</v>
      </c>
      <c r="B43" s="125" t="s">
        <v>42</v>
      </c>
      <c r="C43" s="125" t="s">
        <v>43</v>
      </c>
      <c r="D43" s="125" t="s">
        <v>41</v>
      </c>
      <c r="E43" s="125" t="s">
        <v>2</v>
      </c>
      <c r="F43" s="125" t="s">
        <v>3</v>
      </c>
      <c r="G43" s="125" t="s">
        <v>61</v>
      </c>
      <c r="H43" s="125" t="s">
        <v>154</v>
      </c>
      <c r="I43" s="125" t="s">
        <v>156</v>
      </c>
      <c r="J43" s="125" t="s">
        <v>161</v>
      </c>
      <c r="K43" s="125" t="s">
        <v>166</v>
      </c>
      <c r="L43" s="126" t="s">
        <v>167</v>
      </c>
      <c r="N43" s="140"/>
      <c r="O43" s="69" t="s">
        <v>24</v>
      </c>
      <c r="P43" s="5">
        <v>994.18700000000001</v>
      </c>
      <c r="Q43" s="5">
        <v>1242.7850000000001</v>
      </c>
      <c r="R43" s="5">
        <v>1479.857</v>
      </c>
      <c r="S43" s="5">
        <f>28.102+1096.118</f>
        <v>1124.22</v>
      </c>
      <c r="T43" s="5">
        <f>26.027+1246.335</f>
        <v>1272.3620000000001</v>
      </c>
      <c r="U43" s="5">
        <v>1292.1089999999999</v>
      </c>
      <c r="V43" s="158">
        <v>1333.8050000000001</v>
      </c>
      <c r="W43" s="158">
        <f>16.677+1277.75</f>
        <v>1294.4269999999999</v>
      </c>
      <c r="X43" s="120">
        <f>9.554+656.937</f>
        <v>666.49099999999999</v>
      </c>
      <c r="Z43" s="109"/>
    </row>
    <row r="44" spans="1:29">
      <c r="A44" s="69" t="s">
        <v>70</v>
      </c>
      <c r="B44" s="5">
        <v>0.27900000000000003</v>
      </c>
      <c r="C44" s="5">
        <v>4.9080000000000004</v>
      </c>
      <c r="D44" s="5">
        <v>2.4369999999999998</v>
      </c>
      <c r="E44" s="5">
        <v>15.977</v>
      </c>
      <c r="F44" s="5">
        <v>0.373</v>
      </c>
      <c r="G44" s="5">
        <v>0.48099999999999998</v>
      </c>
      <c r="H44" s="5">
        <v>0.21</v>
      </c>
      <c r="I44" s="5">
        <v>1.5169999999999999</v>
      </c>
      <c r="J44" s="101">
        <f>I50</f>
        <v>0.63399999999998302</v>
      </c>
      <c r="K44" s="101">
        <f>J50</f>
        <v>2.9800000000000009</v>
      </c>
      <c r="L44" s="141">
        <f>K50</f>
        <v>0.8420000000000063</v>
      </c>
      <c r="N44" s="140"/>
      <c r="O44" s="69" t="s">
        <v>38</v>
      </c>
      <c r="P44" s="5">
        <v>89.893000000000001</v>
      </c>
      <c r="Q44" s="5">
        <v>80.128</v>
      </c>
      <c r="R44" s="5">
        <v>77.212000000000003</v>
      </c>
      <c r="S44" s="5">
        <v>1.409</v>
      </c>
      <c r="T44" s="5">
        <v>1.3340000000000001</v>
      </c>
      <c r="U44" s="5">
        <v>1.512</v>
      </c>
      <c r="V44" s="140">
        <v>1.17</v>
      </c>
      <c r="W44" s="140">
        <v>1.0820000000000001</v>
      </c>
      <c r="X44" s="122">
        <v>1.0820000000000001</v>
      </c>
      <c r="Z44" s="109"/>
    </row>
    <row r="45" spans="1:29">
      <c r="A45" s="83" t="s">
        <v>71</v>
      </c>
      <c r="B45" s="5">
        <v>130.37899999999999</v>
      </c>
      <c r="C45" s="5">
        <v>263.03699999999998</v>
      </c>
      <c r="D45" s="5">
        <v>306.65499999999997</v>
      </c>
      <c r="E45" s="5">
        <v>176.85</v>
      </c>
      <c r="F45" s="5">
        <v>319.49099999999999</v>
      </c>
      <c r="G45" s="5">
        <v>295.11500000000001</v>
      </c>
      <c r="H45" s="5">
        <v>40.283999999999999</v>
      </c>
      <c r="I45" s="5">
        <v>268.14299999999997</v>
      </c>
      <c r="J45" s="5">
        <v>584.29300000000001</v>
      </c>
      <c r="K45" s="5">
        <v>337.678</v>
      </c>
      <c r="L45" s="70">
        <v>-48.08</v>
      </c>
      <c r="O45" s="69" t="s">
        <v>39</v>
      </c>
      <c r="P45" s="5">
        <v>43.905000000000001</v>
      </c>
      <c r="Q45" s="5">
        <v>50.786000000000001</v>
      </c>
      <c r="R45" s="5">
        <v>50.037999999999997</v>
      </c>
      <c r="S45" s="5">
        <v>136.864</v>
      </c>
      <c r="T45" s="5">
        <v>116.89700000000001</v>
      </c>
      <c r="U45" s="5">
        <v>223.53</v>
      </c>
      <c r="V45" s="140">
        <v>210.05099999999999</v>
      </c>
      <c r="W45" s="140">
        <v>221.27199999999999</v>
      </c>
      <c r="X45" s="122">
        <v>197.255</v>
      </c>
      <c r="Z45" s="109"/>
    </row>
    <row r="46" spans="1:29">
      <c r="A46" s="83"/>
      <c r="B46" s="5"/>
      <c r="C46" s="5"/>
      <c r="D46" s="5"/>
      <c r="E46" s="5"/>
      <c r="F46" s="5"/>
      <c r="G46" s="5"/>
      <c r="H46" s="5"/>
      <c r="I46" s="5"/>
      <c r="J46" s="5"/>
      <c r="K46" s="5"/>
      <c r="L46" s="70"/>
      <c r="O46" s="107" t="s">
        <v>32</v>
      </c>
      <c r="P46" s="108"/>
      <c r="Q46" s="108"/>
      <c r="R46" s="108"/>
      <c r="S46" s="108"/>
      <c r="T46" s="108"/>
      <c r="U46" s="108">
        <v>2.57</v>
      </c>
      <c r="V46" s="159">
        <v>3.0939999999999999</v>
      </c>
      <c r="W46" s="159">
        <v>3.7</v>
      </c>
      <c r="X46" s="130">
        <v>4.0419999999999998</v>
      </c>
      <c r="Z46" s="109"/>
      <c r="AA46" s="2">
        <f>V49+V9</f>
        <v>2337.6370000000002</v>
      </c>
      <c r="AC46" t="s">
        <v>162</v>
      </c>
    </row>
    <row r="47" spans="1:29">
      <c r="A47" s="83" t="s">
        <v>72</v>
      </c>
      <c r="B47" s="5">
        <v>-87.742999999999995</v>
      </c>
      <c r="C47" s="5">
        <v>-176.499</v>
      </c>
      <c r="D47" s="5">
        <v>-115.241</v>
      </c>
      <c r="E47" s="5">
        <v>-250.714</v>
      </c>
      <c r="F47" s="5">
        <v>-155.58199999999999</v>
      </c>
      <c r="G47" s="5">
        <v>-139.87700000000001</v>
      </c>
      <c r="H47" s="5">
        <v>-70.206000000000003</v>
      </c>
      <c r="I47" s="5">
        <v>-306.65199999999999</v>
      </c>
      <c r="J47" s="5">
        <v>-458.95</v>
      </c>
      <c r="K47" s="5">
        <v>-365.62299999999999</v>
      </c>
      <c r="L47" s="70">
        <v>-50.357999999999997</v>
      </c>
      <c r="O47" s="69" t="s">
        <v>37</v>
      </c>
      <c r="P47" s="5">
        <v>8.1780000000000008</v>
      </c>
      <c r="Q47" s="5">
        <v>9.0410000000000004</v>
      </c>
      <c r="R47" s="5">
        <v>22.262</v>
      </c>
      <c r="S47" s="5">
        <v>27.846</v>
      </c>
      <c r="T47" s="5">
        <v>18.344000000000001</v>
      </c>
      <c r="U47" s="5">
        <v>19.859000000000002</v>
      </c>
      <c r="V47" s="140">
        <v>21.774000000000001</v>
      </c>
      <c r="W47" s="140">
        <v>23.841999999999999</v>
      </c>
      <c r="X47" s="122">
        <v>11.233000000000001</v>
      </c>
      <c r="Z47" s="109"/>
    </row>
    <row r="48" spans="1:29">
      <c r="A48" s="83" t="s">
        <v>73</v>
      </c>
      <c r="B48" s="5">
        <v>-41.945999999999998</v>
      </c>
      <c r="C48" s="5">
        <v>-89.009</v>
      </c>
      <c r="D48" s="5">
        <v>-177.874</v>
      </c>
      <c r="E48" s="5">
        <v>58.26</v>
      </c>
      <c r="F48" s="5">
        <v>-163.80000000000001</v>
      </c>
      <c r="G48" s="5">
        <v>-155.50899999999999</v>
      </c>
      <c r="H48" s="5">
        <v>31.228999999999999</v>
      </c>
      <c r="I48" s="5">
        <v>37.625999999999998</v>
      </c>
      <c r="J48" s="5">
        <v>-122.997</v>
      </c>
      <c r="K48" s="5">
        <v>25.806999999999999</v>
      </c>
      <c r="L48" s="70">
        <v>106.247</v>
      </c>
      <c r="O48" s="69" t="s">
        <v>25</v>
      </c>
      <c r="P48" s="5">
        <v>0</v>
      </c>
      <c r="Q48" s="5">
        <v>0</v>
      </c>
      <c r="R48" s="5">
        <v>1.2350000000000001</v>
      </c>
      <c r="S48" s="5">
        <v>5.7850000000000001</v>
      </c>
      <c r="T48" s="5">
        <v>0</v>
      </c>
      <c r="U48" s="5">
        <v>0</v>
      </c>
      <c r="V48" s="5">
        <v>0</v>
      </c>
      <c r="W48" s="5">
        <v>0</v>
      </c>
      <c r="X48" s="70">
        <v>0</v>
      </c>
      <c r="Y48" s="66"/>
      <c r="Z48" s="109"/>
    </row>
    <row r="49" spans="1:29">
      <c r="A49" s="142" t="s">
        <v>74</v>
      </c>
      <c r="B49" s="95">
        <f t="shared" ref="B49" si="44">SUM(B45:B48)</f>
        <v>0.68999999999999773</v>
      </c>
      <c r="C49" s="95">
        <f t="shared" ref="C49" si="45">SUM(C45:C48)</f>
        <v>-2.4710000000000178</v>
      </c>
      <c r="D49" s="95">
        <f t="shared" ref="D49" si="46">SUM(D45:D48)</f>
        <v>13.539999999999992</v>
      </c>
      <c r="E49" s="95">
        <f t="shared" ref="E49" si="47">SUM(E45:E48)</f>
        <v>-15.604000000000006</v>
      </c>
      <c r="F49" s="95">
        <f t="shared" ref="F49" si="48">SUM(F45:F48)</f>
        <v>0.10899999999998045</v>
      </c>
      <c r="G49" s="95">
        <f t="shared" ref="G49:H49" si="49">SUM(G45:G48)</f>
        <v>-0.27099999999998658</v>
      </c>
      <c r="H49" s="95">
        <f t="shared" si="49"/>
        <v>1.3069999999999951</v>
      </c>
      <c r="I49" s="95">
        <f>SUM(I45:I48)</f>
        <v>-0.88300000000001688</v>
      </c>
      <c r="J49" s="95">
        <f>SUM(J45:J48)</f>
        <v>2.3460000000000178</v>
      </c>
      <c r="K49" s="95">
        <f>SUM(K45:K48)</f>
        <v>-2.1379999999999946</v>
      </c>
      <c r="L49" s="143">
        <f>SUM(L45:L48)</f>
        <v>7.8090000000000117</v>
      </c>
      <c r="O49" s="96" t="s">
        <v>23</v>
      </c>
      <c r="P49" s="13">
        <f t="shared" ref="P49" si="50">SUM(P43:P48)</f>
        <v>1136.163</v>
      </c>
      <c r="Q49" s="13">
        <f t="shared" ref="Q49:U49" si="51">SUM(Q43:Q48)</f>
        <v>1382.74</v>
      </c>
      <c r="R49" s="13">
        <f t="shared" si="51"/>
        <v>1630.6039999999998</v>
      </c>
      <c r="S49" s="13">
        <f t="shared" si="51"/>
        <v>1296.1240000000003</v>
      </c>
      <c r="T49" s="13">
        <f t="shared" si="51"/>
        <v>1408.9370000000001</v>
      </c>
      <c r="U49" s="13">
        <f t="shared" si="51"/>
        <v>1539.5799999999997</v>
      </c>
      <c r="V49" s="13">
        <f>SUM(V43:V48)</f>
        <v>1569.8940000000002</v>
      </c>
      <c r="W49" s="13">
        <f>SUM(W43:W48)</f>
        <v>1544.3230000000001</v>
      </c>
      <c r="X49" s="84">
        <f>SUM(X43:X48)</f>
        <v>880.10299999999995</v>
      </c>
      <c r="Z49" s="110"/>
    </row>
    <row r="50" spans="1:29" ht="15" thickBot="1">
      <c r="A50" s="144" t="s">
        <v>75</v>
      </c>
      <c r="B50" s="145">
        <f t="shared" ref="B50:F50" si="52">B44+B49</f>
        <v>0.96899999999999775</v>
      </c>
      <c r="C50" s="145">
        <f t="shared" si="52"/>
        <v>2.4369999999999825</v>
      </c>
      <c r="D50" s="145">
        <f t="shared" si="52"/>
        <v>15.976999999999991</v>
      </c>
      <c r="E50" s="145">
        <f t="shared" si="52"/>
        <v>0.372999999999994</v>
      </c>
      <c r="F50" s="145">
        <f t="shared" si="52"/>
        <v>0.48199999999998044</v>
      </c>
      <c r="G50" s="145">
        <f t="shared" ref="G50:K50" si="53">G44+G49</f>
        <v>0.2100000000000134</v>
      </c>
      <c r="H50" s="145">
        <f t="shared" si="53"/>
        <v>1.516999999999995</v>
      </c>
      <c r="I50" s="145">
        <f t="shared" si="53"/>
        <v>0.63399999999998302</v>
      </c>
      <c r="J50" s="145">
        <f t="shared" si="53"/>
        <v>2.9800000000000009</v>
      </c>
      <c r="K50" s="145">
        <f t="shared" si="53"/>
        <v>0.8420000000000063</v>
      </c>
      <c r="L50" s="146">
        <f>L44+L49</f>
        <v>8.6510000000000176</v>
      </c>
      <c r="O50" s="96" t="s">
        <v>26</v>
      </c>
      <c r="P50" s="13">
        <f>P37-P49</f>
        <v>579.15600000000018</v>
      </c>
      <c r="Q50" s="13">
        <f t="shared" ref="Q50:U50" si="54">Q37-Q49</f>
        <v>714.20100000000025</v>
      </c>
      <c r="R50" s="13">
        <f t="shared" si="54"/>
        <v>802.33200000000033</v>
      </c>
      <c r="S50" s="13">
        <f t="shared" si="54"/>
        <v>1216.5899999999992</v>
      </c>
      <c r="T50" s="13">
        <f t="shared" si="54"/>
        <v>1462.0779999999993</v>
      </c>
      <c r="U50" s="13">
        <f t="shared" si="54"/>
        <v>1120.8740000000005</v>
      </c>
      <c r="V50" s="13">
        <f>V37-V49</f>
        <v>1205.3229999999994</v>
      </c>
      <c r="W50" s="13">
        <f>W37-W49</f>
        <v>1243.8079999999998</v>
      </c>
      <c r="X50" s="84">
        <f>X37-X49</f>
        <v>1321.7719999999999</v>
      </c>
      <c r="Z50" s="110"/>
    </row>
    <row r="51" spans="1:29" ht="15" thickBot="1">
      <c r="A51" s="102"/>
      <c r="O51" s="69"/>
      <c r="P51" s="5"/>
      <c r="Q51" s="5"/>
      <c r="R51" s="5"/>
      <c r="S51" s="5"/>
      <c r="T51" s="5"/>
      <c r="U51" s="5"/>
      <c r="V51" s="140"/>
      <c r="W51" s="140"/>
      <c r="X51" s="120"/>
      <c r="Z51" s="109"/>
    </row>
    <row r="52" spans="1:29" ht="15" thickBot="1">
      <c r="A52" s="154" t="s">
        <v>76</v>
      </c>
      <c r="B52" s="125" t="s">
        <v>42</v>
      </c>
      <c r="C52" s="125" t="s">
        <v>43</v>
      </c>
      <c r="D52" s="125" t="s">
        <v>41</v>
      </c>
      <c r="E52" s="125" t="s">
        <v>2</v>
      </c>
      <c r="F52" s="125" t="s">
        <v>3</v>
      </c>
      <c r="G52" s="125" t="s">
        <v>61</v>
      </c>
      <c r="H52" s="125" t="s">
        <v>154</v>
      </c>
      <c r="I52" s="125" t="s">
        <v>156</v>
      </c>
      <c r="J52" s="125" t="s">
        <v>161</v>
      </c>
      <c r="K52" s="125" t="s">
        <v>166</v>
      </c>
      <c r="L52" s="126" t="s">
        <v>168</v>
      </c>
      <c r="O52" s="69" t="s">
        <v>27</v>
      </c>
      <c r="P52" s="5">
        <v>113.628</v>
      </c>
      <c r="Q52" s="5">
        <v>134.72499999999999</v>
      </c>
      <c r="R52" s="5">
        <v>104.57599999999999</v>
      </c>
      <c r="S52" s="5">
        <v>104.137</v>
      </c>
      <c r="T52" s="5">
        <v>101.64</v>
      </c>
      <c r="U52" s="5">
        <v>28.681999999999999</v>
      </c>
      <c r="V52" s="140">
        <v>113.491</v>
      </c>
      <c r="W52" s="140">
        <v>94.66</v>
      </c>
      <c r="X52" s="122">
        <v>81.688000000000002</v>
      </c>
      <c r="Z52" s="109"/>
    </row>
    <row r="53" spans="1:29">
      <c r="A53" s="69" t="s">
        <v>77</v>
      </c>
      <c r="B53" s="5">
        <f t="shared" ref="B53:F53" si="55">B45</f>
        <v>130.37899999999999</v>
      </c>
      <c r="C53" s="5">
        <f t="shared" si="55"/>
        <v>263.03699999999998</v>
      </c>
      <c r="D53" s="5">
        <f t="shared" si="55"/>
        <v>306.65499999999997</v>
      </c>
      <c r="E53" s="5">
        <f t="shared" si="55"/>
        <v>176.85</v>
      </c>
      <c r="F53" s="5">
        <f t="shared" si="55"/>
        <v>319.49099999999999</v>
      </c>
      <c r="G53" s="5">
        <f t="shared" ref="G53:K53" si="56">G45</f>
        <v>295.11500000000001</v>
      </c>
      <c r="H53" s="5">
        <f t="shared" si="56"/>
        <v>40.283999999999999</v>
      </c>
      <c r="I53" s="5">
        <f t="shared" si="56"/>
        <v>268.14299999999997</v>
      </c>
      <c r="J53" s="5">
        <f t="shared" si="56"/>
        <v>584.29300000000001</v>
      </c>
      <c r="K53" s="5">
        <f t="shared" si="56"/>
        <v>337.678</v>
      </c>
      <c r="L53" s="70">
        <f>L45</f>
        <v>-48.08</v>
      </c>
      <c r="O53" s="69" t="s">
        <v>31</v>
      </c>
      <c r="P53" s="5">
        <v>21.152000000000001</v>
      </c>
      <c r="Q53" s="5">
        <v>103.342</v>
      </c>
      <c r="R53" s="5">
        <v>107.30800000000001</v>
      </c>
      <c r="S53" s="5">
        <v>27.754999999999999</v>
      </c>
      <c r="T53" s="5">
        <f>31.827+2.297</f>
        <v>34.124000000000002</v>
      </c>
      <c r="U53" s="5">
        <v>43.008000000000003</v>
      </c>
      <c r="V53" s="140">
        <v>45.091999999999999</v>
      </c>
      <c r="W53" s="140">
        <v>46.552</v>
      </c>
      <c r="X53" s="122">
        <v>46.152000000000001</v>
      </c>
      <c r="Z53" s="109"/>
    </row>
    <row r="54" spans="1:29">
      <c r="A54" s="71" t="s">
        <v>78</v>
      </c>
      <c r="B54" s="72">
        <f>-86.815+1.675</f>
        <v>-85.14</v>
      </c>
      <c r="C54" s="72">
        <f>-209.009+6.951</f>
        <v>-202.05799999999999</v>
      </c>
      <c r="D54" s="72">
        <f>-109.931+0.623</f>
        <v>-109.30799999999999</v>
      </c>
      <c r="E54" s="72">
        <f>-217.729+2.061</f>
        <v>-215.66800000000001</v>
      </c>
      <c r="F54" s="72">
        <f>-153.767</f>
        <v>-153.767</v>
      </c>
      <c r="G54" s="72">
        <f>-(90.504)</f>
        <v>-90.504000000000005</v>
      </c>
      <c r="H54" s="72">
        <v>-178.136</v>
      </c>
      <c r="I54" s="72">
        <v>-299.90199999999999</v>
      </c>
      <c r="J54" s="72">
        <v>-401.24700000000001</v>
      </c>
      <c r="K54" s="131">
        <v>-311.404</v>
      </c>
      <c r="L54" s="147">
        <f>-167.189+0.285</f>
        <v>-166.904</v>
      </c>
      <c r="O54" s="83" t="s">
        <v>32</v>
      </c>
      <c r="P54" s="63">
        <v>0</v>
      </c>
      <c r="Q54" s="63">
        <v>0</v>
      </c>
      <c r="R54" s="63">
        <v>31.722999999999999</v>
      </c>
      <c r="S54" s="63">
        <v>30.425000000000001</v>
      </c>
      <c r="T54" s="63">
        <v>28.76</v>
      </c>
      <c r="U54" s="63">
        <v>24.12</v>
      </c>
      <c r="V54" s="140">
        <v>21.026</v>
      </c>
      <c r="W54" s="140">
        <v>17.326000000000001</v>
      </c>
      <c r="X54" s="122">
        <v>15.134</v>
      </c>
      <c r="Z54" s="109"/>
    </row>
    <row r="55" spans="1:29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48"/>
      <c r="O55" s="83" t="s">
        <v>160</v>
      </c>
      <c r="P55" s="5"/>
      <c r="Q55" s="5"/>
      <c r="R55" s="5"/>
      <c r="S55" s="5"/>
      <c r="T55" s="5"/>
      <c r="U55" s="5">
        <v>5.5229999999999997</v>
      </c>
      <c r="V55" s="140">
        <v>11.372999999999999</v>
      </c>
      <c r="W55" s="140">
        <v>17.245000000000001</v>
      </c>
      <c r="X55" s="122">
        <v>24.042999999999999</v>
      </c>
      <c r="Z55" s="109"/>
    </row>
    <row r="56" spans="1:29" ht="15" thickBot="1">
      <c r="A56" s="144" t="s">
        <v>79</v>
      </c>
      <c r="B56" s="145">
        <f>SUM(B53:B54)</f>
        <v>45.23899999999999</v>
      </c>
      <c r="C56" s="145">
        <f t="shared" ref="C56:G56" si="57">SUM(C53:C54)</f>
        <v>60.978999999999985</v>
      </c>
      <c r="D56" s="145">
        <f t="shared" si="57"/>
        <v>197.34699999999998</v>
      </c>
      <c r="E56" s="145">
        <f t="shared" si="57"/>
        <v>-38.818000000000012</v>
      </c>
      <c r="F56" s="145">
        <f t="shared" si="57"/>
        <v>165.72399999999999</v>
      </c>
      <c r="G56" s="145">
        <f t="shared" si="57"/>
        <v>204.61099999999999</v>
      </c>
      <c r="H56" s="145">
        <f>SUM(H53:H54)</f>
        <v>-137.852</v>
      </c>
      <c r="I56" s="145">
        <f>SUM(I53:I54)</f>
        <v>-31.759000000000015</v>
      </c>
      <c r="J56" s="145">
        <f>SUM(J53:J54)</f>
        <v>183.04599999999999</v>
      </c>
      <c r="K56" s="149">
        <f>SUM(K53:K54)</f>
        <v>26.274000000000001</v>
      </c>
      <c r="L56" s="150">
        <f>SUM(L53:L54)</f>
        <v>-214.98399999999998</v>
      </c>
      <c r="O56" s="69"/>
      <c r="P56" s="3">
        <f t="shared" ref="P56:T56" si="58">SUM(P52:P54)</f>
        <v>134.78</v>
      </c>
      <c r="Q56" s="3">
        <f t="shared" si="58"/>
        <v>238.06700000000001</v>
      </c>
      <c r="R56" s="3">
        <f t="shared" si="58"/>
        <v>243.60700000000003</v>
      </c>
      <c r="S56" s="3">
        <f t="shared" si="58"/>
        <v>162.31700000000001</v>
      </c>
      <c r="T56" s="3">
        <f t="shared" si="58"/>
        <v>164.524</v>
      </c>
      <c r="U56" s="3">
        <f>SUM(U52:U55)</f>
        <v>101.333</v>
      </c>
      <c r="V56" s="3">
        <f>SUM(V52:V55)</f>
        <v>190.982</v>
      </c>
      <c r="W56" s="3">
        <f>SUM(W52:W55)</f>
        <v>175.78299999999999</v>
      </c>
      <c r="X56" s="85">
        <f>SUM(X52:X55)</f>
        <v>167.017</v>
      </c>
      <c r="Z56" s="110"/>
      <c r="AA56" s="2">
        <f>V56+V8</f>
        <v>682.81600000000003</v>
      </c>
      <c r="AC56" t="s">
        <v>164</v>
      </c>
    </row>
    <row r="57" spans="1:29" ht="15" thickBot="1">
      <c r="A57" s="102"/>
      <c r="O57" s="69"/>
      <c r="P57" s="4"/>
      <c r="Q57" s="4"/>
      <c r="R57" s="4"/>
      <c r="S57" s="4"/>
      <c r="T57" s="4"/>
      <c r="U57" s="4"/>
      <c r="V57" s="140"/>
      <c r="W57" s="140"/>
      <c r="X57" s="120"/>
      <c r="Z57" s="110"/>
    </row>
    <row r="58" spans="1:29" ht="15" thickBot="1">
      <c r="A58" s="154" t="s">
        <v>76</v>
      </c>
      <c r="B58" s="125" t="s">
        <v>42</v>
      </c>
      <c r="C58" s="125" t="s">
        <v>43</v>
      </c>
      <c r="D58" s="125" t="s">
        <v>41</v>
      </c>
      <c r="E58" s="125" t="s">
        <v>2</v>
      </c>
      <c r="F58" s="125" t="s">
        <v>3</v>
      </c>
      <c r="G58" s="125" t="s">
        <v>61</v>
      </c>
      <c r="H58" s="125" t="s">
        <v>154</v>
      </c>
      <c r="I58" s="125" t="s">
        <v>156</v>
      </c>
      <c r="J58" s="125" t="s">
        <v>161</v>
      </c>
      <c r="K58" s="125" t="s">
        <v>166</v>
      </c>
      <c r="L58" s="126" t="s">
        <v>168</v>
      </c>
      <c r="O58" s="69" t="s">
        <v>110</v>
      </c>
      <c r="P58" s="9">
        <v>0</v>
      </c>
      <c r="Q58" s="9">
        <v>0</v>
      </c>
      <c r="R58" s="9">
        <v>0</v>
      </c>
      <c r="S58" s="9">
        <v>67.78</v>
      </c>
      <c r="T58" s="9">
        <v>17.5</v>
      </c>
      <c r="U58" s="9">
        <v>0</v>
      </c>
      <c r="V58" s="140"/>
      <c r="W58" s="140"/>
      <c r="X58" s="120"/>
      <c r="Z58" s="111"/>
    </row>
    <row r="59" spans="1:29">
      <c r="A59" s="69" t="s">
        <v>121</v>
      </c>
      <c r="B59" s="5">
        <f t="shared" ref="B59:E59" si="59">49603520/10^6</f>
        <v>49.603520000000003</v>
      </c>
      <c r="C59" s="5">
        <f t="shared" si="59"/>
        <v>49.603520000000003</v>
      </c>
      <c r="D59" s="5">
        <f t="shared" si="59"/>
        <v>49.603520000000003</v>
      </c>
      <c r="E59" s="5">
        <f t="shared" si="59"/>
        <v>49.603520000000003</v>
      </c>
      <c r="F59" s="5">
        <f>49603520/10^6</f>
        <v>49.603520000000003</v>
      </c>
      <c r="G59" s="5">
        <f>49603520/10^6</f>
        <v>49.603520000000003</v>
      </c>
      <c r="H59" s="5">
        <f>49603520/10^6</f>
        <v>49.603520000000003</v>
      </c>
      <c r="I59" s="5">
        <v>49.6</v>
      </c>
      <c r="J59" s="5">
        <f>49603520/1000000</f>
        <v>49.603520000000003</v>
      </c>
      <c r="K59" s="5">
        <f>51103520/1000000</f>
        <v>51.103520000000003</v>
      </c>
      <c r="L59" s="70">
        <v>51.32</v>
      </c>
      <c r="O59" s="69"/>
      <c r="P59" s="5"/>
      <c r="Q59" s="5"/>
      <c r="R59" s="5"/>
      <c r="S59" s="5"/>
      <c r="T59" s="5"/>
      <c r="U59" s="5"/>
      <c r="V59" s="140"/>
      <c r="W59" s="140"/>
      <c r="X59" s="120"/>
      <c r="Z59" s="109"/>
    </row>
    <row r="60" spans="1:29">
      <c r="A60" s="69" t="s">
        <v>122</v>
      </c>
      <c r="B60" s="5">
        <v>1</v>
      </c>
      <c r="C60" s="5">
        <v>1</v>
      </c>
      <c r="D60" s="5">
        <v>1</v>
      </c>
      <c r="E60" s="5">
        <v>1</v>
      </c>
      <c r="F60" s="5">
        <v>1</v>
      </c>
      <c r="G60" s="5">
        <v>1</v>
      </c>
      <c r="H60" s="5">
        <v>1</v>
      </c>
      <c r="I60" s="5">
        <v>1</v>
      </c>
      <c r="J60" s="5">
        <v>1</v>
      </c>
      <c r="K60" s="5">
        <v>1</v>
      </c>
      <c r="L60" s="70">
        <v>1</v>
      </c>
      <c r="O60" s="96" t="s">
        <v>29</v>
      </c>
      <c r="P60" s="13">
        <f t="shared" ref="P60:U60" si="60">P6+P10+P49+P56+P58</f>
        <v>2577.2740000000003</v>
      </c>
      <c r="Q60" s="13">
        <f t="shared" si="60"/>
        <v>3114.8580000000002</v>
      </c>
      <c r="R60" s="13">
        <f t="shared" si="60"/>
        <v>3529.85</v>
      </c>
      <c r="S60" s="13">
        <f t="shared" si="60"/>
        <v>3648.3770000000004</v>
      </c>
      <c r="T60" s="13">
        <f t="shared" si="60"/>
        <v>4092.2769999999996</v>
      </c>
      <c r="U60" s="139">
        <f t="shared" si="60"/>
        <v>4114.0949999999993</v>
      </c>
      <c r="V60" s="13">
        <f>V6+V10+V49+V56</f>
        <v>4537.1559999999999</v>
      </c>
      <c r="W60" s="13">
        <f>W6+W10+W49+W56</f>
        <v>4719.8270000000002</v>
      </c>
      <c r="X60" s="84">
        <f>X6+X10+X49+X56</f>
        <v>4214.1670000000004</v>
      </c>
      <c r="Z60" s="110"/>
    </row>
    <row r="61" spans="1:29" ht="15" thickBot="1">
      <c r="A61" s="71" t="s">
        <v>83</v>
      </c>
      <c r="B61" s="72">
        <f>B59*P67</f>
        <v>2891.8852160000001</v>
      </c>
      <c r="C61" s="72">
        <f>C59*Q67</f>
        <v>1393.8589120000001</v>
      </c>
      <c r="D61" s="72">
        <f t="shared" ref="D61:J61" si="61">D59*P67</f>
        <v>2891.8852160000001</v>
      </c>
      <c r="E61" s="72">
        <f t="shared" si="61"/>
        <v>1393.8589120000001</v>
      </c>
      <c r="F61" s="72">
        <f t="shared" si="61"/>
        <v>535.71801600000003</v>
      </c>
      <c r="G61" s="72">
        <f t="shared" si="61"/>
        <v>3630.9776640000005</v>
      </c>
      <c r="H61" s="72">
        <f t="shared" si="61"/>
        <v>5292.6955840000001</v>
      </c>
      <c r="I61" s="72">
        <f t="shared" si="61"/>
        <v>5684.16</v>
      </c>
      <c r="J61" s="72">
        <f t="shared" si="61"/>
        <v>6607.1888639999997</v>
      </c>
      <c r="K61" s="72">
        <f>K59*W67</f>
        <v>4921.2689760000003</v>
      </c>
      <c r="L61" s="148">
        <v>6571.76</v>
      </c>
      <c r="O61" s="144" t="s">
        <v>28</v>
      </c>
      <c r="P61" s="145">
        <f t="shared" ref="P61:V61" si="62">P25+P37+P39</f>
        <v>2577.2740000000003</v>
      </c>
      <c r="Q61" s="145">
        <f t="shared" si="62"/>
        <v>3114.8580000000002</v>
      </c>
      <c r="R61" s="145">
        <f t="shared" si="62"/>
        <v>3529.85</v>
      </c>
      <c r="S61" s="145">
        <f t="shared" si="62"/>
        <v>3648.3749999999991</v>
      </c>
      <c r="T61" s="145">
        <f t="shared" si="62"/>
        <v>4092.2769999999991</v>
      </c>
      <c r="U61" s="160">
        <f t="shared" si="62"/>
        <v>4114.08</v>
      </c>
      <c r="V61" s="145">
        <f t="shared" si="62"/>
        <v>4537.1559999999999</v>
      </c>
      <c r="W61" s="145">
        <f>W25+W37+W39</f>
        <v>4719.826</v>
      </c>
      <c r="X61" s="146">
        <f>X25+X37+X39</f>
        <v>4214.1669999999995</v>
      </c>
      <c r="Z61" s="110"/>
    </row>
    <row r="62" spans="1:29">
      <c r="A62" s="71" t="s">
        <v>81</v>
      </c>
      <c r="B62" s="72">
        <f>P10</f>
        <v>544.15499999999997</v>
      </c>
      <c r="C62" s="72">
        <f>Q10</f>
        <v>680.89400000000001</v>
      </c>
      <c r="D62" s="72">
        <f t="shared" ref="D62:I62" si="63">P10</f>
        <v>544.15499999999997</v>
      </c>
      <c r="E62" s="72">
        <f t="shared" si="63"/>
        <v>680.89400000000001</v>
      </c>
      <c r="F62" s="72">
        <f t="shared" si="63"/>
        <v>664.84900000000005</v>
      </c>
      <c r="G62" s="72">
        <f t="shared" si="63"/>
        <v>778.13499999999999</v>
      </c>
      <c r="H62" s="72">
        <f t="shared" si="63"/>
        <v>959.94100000000003</v>
      </c>
      <c r="I62" s="72">
        <f t="shared" si="63"/>
        <v>1171.9390000000001</v>
      </c>
      <c r="J62" s="105">
        <f>V10</f>
        <v>1259.577</v>
      </c>
      <c r="K62" s="105">
        <f>W10</f>
        <v>983.32799999999997</v>
      </c>
      <c r="L62" s="151">
        <f>X10</f>
        <v>985.94900000000007</v>
      </c>
    </row>
    <row r="63" spans="1:29">
      <c r="A63" s="71" t="s">
        <v>82</v>
      </c>
      <c r="B63" s="72">
        <f>P32+P33</f>
        <v>114.84700000000001</v>
      </c>
      <c r="C63" s="72">
        <f>Q32+Q33</f>
        <v>121.461</v>
      </c>
      <c r="D63" s="72">
        <f t="shared" ref="D63:I63" si="64">P32+P33</f>
        <v>114.84700000000001</v>
      </c>
      <c r="E63" s="72">
        <f t="shared" si="64"/>
        <v>121.461</v>
      </c>
      <c r="F63" s="72">
        <f t="shared" si="64"/>
        <v>139.374</v>
      </c>
      <c r="G63" s="72">
        <f t="shared" si="64"/>
        <v>219.584</v>
      </c>
      <c r="H63" s="72">
        <f t="shared" si="64"/>
        <v>138.767</v>
      </c>
      <c r="I63" s="72">
        <f t="shared" si="64"/>
        <v>131.21700000000001</v>
      </c>
      <c r="J63" s="105">
        <f>V32+V33</f>
        <v>206.47200000000001</v>
      </c>
      <c r="K63" s="105">
        <f>W32+W33</f>
        <v>286.65899999999999</v>
      </c>
      <c r="L63" s="151">
        <f>X32+X33</f>
        <v>194.89699999999999</v>
      </c>
    </row>
    <row r="64" spans="1:29" ht="15" thickBot="1">
      <c r="A64" s="86" t="s">
        <v>84</v>
      </c>
      <c r="B64" s="87">
        <f>SUM(B61:B62)-B63</f>
        <v>3321.1932160000001</v>
      </c>
      <c r="C64" s="87">
        <f t="shared" ref="C64:F64" si="65">SUM(C61:C62)-C63</f>
        <v>1953.2919119999999</v>
      </c>
      <c r="D64" s="87">
        <f t="shared" si="65"/>
        <v>3321.1932160000001</v>
      </c>
      <c r="E64" s="87">
        <f t="shared" si="65"/>
        <v>1953.2919119999999</v>
      </c>
      <c r="F64" s="87">
        <f t="shared" si="65"/>
        <v>1061.1930159999999</v>
      </c>
      <c r="G64" s="87">
        <f t="shared" ref="G64" si="66">SUM(G61:G62)-G63</f>
        <v>4189.5286640000004</v>
      </c>
      <c r="H64" s="87">
        <f t="shared" ref="H64:J64" si="67">SUM(H61:H62)-H63</f>
        <v>6113.869584</v>
      </c>
      <c r="I64" s="87">
        <f t="shared" si="67"/>
        <v>6724.8820000000005</v>
      </c>
      <c r="J64" s="152">
        <f t="shared" si="67"/>
        <v>7660.2938640000002</v>
      </c>
      <c r="K64" s="152">
        <f>SUM(K61:K62)-K63</f>
        <v>5617.9379760000011</v>
      </c>
      <c r="L64" s="153">
        <f>SUM(L61:L62)-L63</f>
        <v>7362.8120000000008</v>
      </c>
    </row>
    <row r="65" spans="1:31" ht="15" thickBot="1"/>
    <row r="66" spans="1:31">
      <c r="A66" s="14"/>
      <c r="O66" s="161" t="s">
        <v>76</v>
      </c>
      <c r="P66" s="162" t="s">
        <v>41</v>
      </c>
      <c r="Q66" s="162" t="s">
        <v>2</v>
      </c>
      <c r="R66" s="162" t="s">
        <v>3</v>
      </c>
      <c r="S66" s="162" t="s">
        <v>61</v>
      </c>
      <c r="T66" s="162" t="s">
        <v>154</v>
      </c>
      <c r="U66" s="162" t="s">
        <v>157</v>
      </c>
      <c r="V66" s="162" t="s">
        <v>161</v>
      </c>
      <c r="W66" s="162" t="s">
        <v>166</v>
      </c>
      <c r="X66" s="163" t="s">
        <v>168</v>
      </c>
      <c r="Y66" s="128"/>
      <c r="Z66" s="128"/>
      <c r="AA66" s="128"/>
      <c r="AB66" s="128"/>
      <c r="AC66" s="128"/>
      <c r="AD66" s="128"/>
      <c r="AE66" s="128"/>
    </row>
    <row r="67" spans="1:31">
      <c r="J67" s="2"/>
      <c r="O67" s="69" t="s">
        <v>85</v>
      </c>
      <c r="P67" s="5">
        <v>58.3</v>
      </c>
      <c r="Q67" s="5">
        <v>28.1</v>
      </c>
      <c r="R67" s="5">
        <v>10.8</v>
      </c>
      <c r="S67" s="5">
        <v>73.2</v>
      </c>
      <c r="T67" s="5">
        <v>106.7</v>
      </c>
      <c r="U67" s="63">
        <v>114.6</v>
      </c>
      <c r="V67" s="63">
        <v>133.19999999999999</v>
      </c>
      <c r="W67" s="63">
        <v>96.3</v>
      </c>
      <c r="X67" s="138">
        <v>128.05000000000001</v>
      </c>
    </row>
    <row r="68" spans="1:31">
      <c r="O68" s="71" t="s">
        <v>86</v>
      </c>
      <c r="P68" s="72">
        <f>D39</f>
        <v>1.85</v>
      </c>
      <c r="Q68" s="72">
        <f>E39</f>
        <v>1.21</v>
      </c>
      <c r="R68" s="72">
        <f>F39</f>
        <v>3.73</v>
      </c>
      <c r="S68" s="73">
        <f>G39</f>
        <v>7.27</v>
      </c>
      <c r="T68" s="73">
        <f>H39</f>
        <v>4.0199999999999996</v>
      </c>
      <c r="U68" s="73">
        <v>-4.6399999999999997</v>
      </c>
      <c r="V68" s="104">
        <v>6.9</v>
      </c>
      <c r="W68" s="104">
        <f>K39</f>
        <v>-0.76</v>
      </c>
      <c r="X68" s="164">
        <f>W68+L39-1.94</f>
        <v>-3.13</v>
      </c>
    </row>
    <row r="69" spans="1:31">
      <c r="O69" s="71" t="s">
        <v>87</v>
      </c>
      <c r="P69" s="72">
        <f t="shared" ref="P69:W69" si="68">P6/D59</f>
        <v>15.365361167917115</v>
      </c>
      <c r="Q69" s="72">
        <f t="shared" si="68"/>
        <v>16.39313097135042</v>
      </c>
      <c r="R69" s="72">
        <f t="shared" si="68"/>
        <v>19.974187315738885</v>
      </c>
      <c r="S69" s="72">
        <f t="shared" si="68"/>
        <v>27.095274690183274</v>
      </c>
      <c r="T69" s="72">
        <f t="shared" si="68"/>
        <v>31.073903626194269</v>
      </c>
      <c r="U69" s="72">
        <f t="shared" si="68"/>
        <v>26.234737903225806</v>
      </c>
      <c r="V69" s="105">
        <f t="shared" si="68"/>
        <v>30.576519569578931</v>
      </c>
      <c r="W69" s="105">
        <f t="shared" si="68"/>
        <v>39.457027617667038</v>
      </c>
      <c r="X69" s="164">
        <f>X6/L59</f>
        <v>42.499961028838655</v>
      </c>
    </row>
    <row r="70" spans="1:31">
      <c r="O70" s="69" t="s">
        <v>88</v>
      </c>
      <c r="P70" s="5">
        <f>15%*D60</f>
        <v>0.15</v>
      </c>
      <c r="Q70" s="5">
        <f>15%*E60</f>
        <v>0.15</v>
      </c>
      <c r="R70" s="5">
        <f>15%*F60</f>
        <v>0.15</v>
      </c>
      <c r="S70" s="5">
        <f>20%*G60</f>
        <v>0.2</v>
      </c>
      <c r="T70" s="5">
        <v>0.2</v>
      </c>
      <c r="U70" s="5">
        <v>0</v>
      </c>
      <c r="V70" s="106">
        <v>0</v>
      </c>
      <c r="W70" s="106">
        <v>0.2</v>
      </c>
      <c r="X70" s="165" t="s">
        <v>169</v>
      </c>
    </row>
    <row r="71" spans="1:31">
      <c r="O71" s="71" t="s">
        <v>89</v>
      </c>
      <c r="P71" s="72">
        <f t="shared" ref="P71:T71" si="69">P67/P68</f>
        <v>31.513513513513509</v>
      </c>
      <c r="Q71" s="72">
        <f t="shared" si="69"/>
        <v>23.223140495867771</v>
      </c>
      <c r="R71" s="72">
        <f t="shared" si="69"/>
        <v>2.8954423592493299</v>
      </c>
      <c r="S71" s="72">
        <f t="shared" si="69"/>
        <v>10.068775790921597</v>
      </c>
      <c r="T71" s="72">
        <f t="shared" si="69"/>
        <v>26.542288557213933</v>
      </c>
      <c r="U71" s="72">
        <f t="shared" ref="U71" si="70">U67/U68</f>
        <v>-24.698275862068964</v>
      </c>
      <c r="V71" s="105">
        <f>V67/V68</f>
        <v>19.304347826086953</v>
      </c>
      <c r="W71" s="105">
        <f>W67/W68</f>
        <v>-126.71052631578947</v>
      </c>
      <c r="X71" s="164" t="s">
        <v>169</v>
      </c>
    </row>
    <row r="72" spans="1:31">
      <c r="O72" s="71" t="s">
        <v>90</v>
      </c>
      <c r="P72" s="72">
        <f t="shared" ref="P72:R72" si="71">P67/P69</f>
        <v>3.7942485935007135</v>
      </c>
      <c r="Q72" s="72">
        <f t="shared" si="71"/>
        <v>1.7141325869420052</v>
      </c>
      <c r="R72" s="72">
        <f t="shared" si="71"/>
        <v>0.54069784313527591</v>
      </c>
      <c r="S72" s="72">
        <f t="shared" ref="S72:T72" si="72">S67/S69</f>
        <v>2.7015780735568868</v>
      </c>
      <c r="T72" s="72">
        <f t="shared" si="72"/>
        <v>3.4337494665477255</v>
      </c>
      <c r="U72" s="72">
        <f t="shared" ref="U72" si="73">U67/U69</f>
        <v>4.3682540463233996</v>
      </c>
      <c r="V72" s="105">
        <f>V67/V69</f>
        <v>4.3562839026493654</v>
      </c>
      <c r="W72" s="105">
        <f>W67/W69</f>
        <v>2.4406298653089951</v>
      </c>
      <c r="X72" s="164">
        <f>X67/X69</f>
        <v>3.0129439392452797</v>
      </c>
    </row>
    <row r="73" spans="1:31">
      <c r="O73" s="71" t="s">
        <v>91</v>
      </c>
      <c r="P73" s="72">
        <f t="shared" ref="P73:W73" si="74">D64/D13</f>
        <v>11.140457587548642</v>
      </c>
      <c r="Q73" s="72">
        <f t="shared" si="74"/>
        <v>6.6765058756776572</v>
      </c>
      <c r="R73" s="72">
        <f t="shared" si="74"/>
        <v>2.3446027957782736</v>
      </c>
      <c r="S73" s="72">
        <f t="shared" si="74"/>
        <v>6.1081908011086403</v>
      </c>
      <c r="T73" s="72">
        <f t="shared" si="74"/>
        <v>15.714101056624937</v>
      </c>
      <c r="U73" s="72">
        <f t="shared" si="74"/>
        <v>-86.812997005060481</v>
      </c>
      <c r="V73" s="72">
        <f t="shared" si="74"/>
        <v>12.881306282506834</v>
      </c>
      <c r="W73" s="72">
        <f t="shared" si="74"/>
        <v>19.83819221153432</v>
      </c>
      <c r="X73" s="164" t="s">
        <v>169</v>
      </c>
    </row>
    <row r="74" spans="1:31">
      <c r="O74" s="71" t="s">
        <v>105</v>
      </c>
      <c r="P74" s="72">
        <f t="shared" ref="P74:W74" si="75">D4/SUM(P17:P19)</f>
        <v>5.5213529023605279</v>
      </c>
      <c r="Q74" s="72">
        <f t="shared" si="75"/>
        <v>5.9194498166727101</v>
      </c>
      <c r="R74" s="72">
        <f t="shared" si="75"/>
        <v>4.9825476577095014</v>
      </c>
      <c r="S74" s="72">
        <f t="shared" si="75"/>
        <v>5.4269260422260555</v>
      </c>
      <c r="T74" s="72">
        <f t="shared" si="75"/>
        <v>4.554054460759561</v>
      </c>
      <c r="U74" s="72">
        <f t="shared" si="75"/>
        <v>5.2159813371616073</v>
      </c>
      <c r="V74" s="72">
        <f t="shared" si="75"/>
        <v>5.1416223329304884</v>
      </c>
      <c r="W74" s="72">
        <f t="shared" si="75"/>
        <v>3.8975077028895488</v>
      </c>
      <c r="X74" s="164" t="s">
        <v>169</v>
      </c>
    </row>
    <row r="75" spans="1:31">
      <c r="O75" s="71" t="s">
        <v>92</v>
      </c>
      <c r="P75" s="74">
        <f t="shared" ref="P75:W75" si="76">D29/P6</f>
        <v>0.12062961835586519</v>
      </c>
      <c r="Q75" s="74">
        <f t="shared" si="76"/>
        <v>7.3870113643489513E-2</v>
      </c>
      <c r="R75" s="74">
        <f t="shared" si="76"/>
        <v>0.18662481454193106</v>
      </c>
      <c r="S75" s="74">
        <f t="shared" si="76"/>
        <v>0.2682800343149398</v>
      </c>
      <c r="T75" s="74">
        <f t="shared" si="76"/>
        <v>0.12931505960587106</v>
      </c>
      <c r="U75" s="74">
        <f t="shared" si="76"/>
        <v>-0.17784841109615951</v>
      </c>
      <c r="V75" s="74">
        <f t="shared" si="76"/>
        <v>0.14458862414065185</v>
      </c>
      <c r="W75" s="74">
        <f t="shared" si="76"/>
        <v>-2.1197256685576669E-2</v>
      </c>
      <c r="X75" s="164" t="s">
        <v>169</v>
      </c>
    </row>
    <row r="76" spans="1:31">
      <c r="O76" s="71" t="s">
        <v>93</v>
      </c>
      <c r="P76" s="74">
        <f t="shared" ref="P76:W76" si="77">(D21+D19)/P13</f>
        <v>0.26127325333022622</v>
      </c>
      <c r="Q76" s="74">
        <f t="shared" si="77"/>
        <v>0.19798410800950259</v>
      </c>
      <c r="R76" s="74">
        <f t="shared" si="77"/>
        <v>0.27840403804549135</v>
      </c>
      <c r="S76" s="74">
        <f t="shared" si="77"/>
        <v>0.35068696284599299</v>
      </c>
      <c r="T76" s="74">
        <f t="shared" si="77"/>
        <v>0.17536231274461744</v>
      </c>
      <c r="U76" s="74">
        <f t="shared" si="77"/>
        <v>-8.065767435790222E-2</v>
      </c>
      <c r="V76" s="74">
        <f t="shared" si="77"/>
        <v>0.23126965486544973</v>
      </c>
      <c r="W76" s="74">
        <f t="shared" si="77"/>
        <v>7.1351001565194347E-2</v>
      </c>
      <c r="X76" s="164" t="s">
        <v>169</v>
      </c>
    </row>
    <row r="77" spans="1:31">
      <c r="E77">
        <v>1</v>
      </c>
      <c r="O77" s="71" t="s">
        <v>94</v>
      </c>
      <c r="P77" s="72">
        <f t="shared" ref="P77:U77" si="78">P10/P6</f>
        <v>0.71394927155932475</v>
      </c>
      <c r="Q77" s="72">
        <f t="shared" si="78"/>
        <v>0.83734629352019352</v>
      </c>
      <c r="R77" s="72">
        <f t="shared" si="78"/>
        <v>0.67102917873616008</v>
      </c>
      <c r="S77" s="72">
        <f t="shared" si="78"/>
        <v>0.57896044779062228</v>
      </c>
      <c r="T77" s="72">
        <f t="shared" si="78"/>
        <v>0.62278225610250593</v>
      </c>
      <c r="U77" s="72">
        <f t="shared" si="78"/>
        <v>0.90063039724325133</v>
      </c>
      <c r="V77" s="72">
        <f t="shared" ref="V77" si="79">V10/V6</f>
        <v>0.83047043488408745</v>
      </c>
      <c r="W77" s="72">
        <f>W10/W6</f>
        <v>0.48766683875613531</v>
      </c>
      <c r="X77" s="166">
        <f>X10/X6</f>
        <v>0.45204250336298513</v>
      </c>
    </row>
    <row r="78" spans="1:31">
      <c r="O78" s="71" t="s">
        <v>95</v>
      </c>
      <c r="P78" s="72">
        <f t="shared" ref="P78:U78" si="80">(P10-P32-P33)/P6</f>
        <v>0.56326622722310848</v>
      </c>
      <c r="Q78" s="72">
        <f t="shared" si="80"/>
        <v>0.68797661460210013</v>
      </c>
      <c r="R78" s="72">
        <f t="shared" si="80"/>
        <v>0.53035961202676651</v>
      </c>
      <c r="S78" s="72">
        <f t="shared" si="80"/>
        <v>0.41558204819716354</v>
      </c>
      <c r="T78" s="72">
        <f t="shared" si="80"/>
        <v>0.53275419673992375</v>
      </c>
      <c r="U78" s="72">
        <f t="shared" si="80"/>
        <v>0.7997906616980841</v>
      </c>
      <c r="V78" s="72">
        <f t="shared" ref="V78" si="81">(V10-V32-V33)/V6</f>
        <v>0.69433831145583547</v>
      </c>
      <c r="W78" s="72">
        <f>(W10-W32-W33)/W6</f>
        <v>0.34550258803715339</v>
      </c>
      <c r="X78" s="166">
        <f>(X10-X32-X33)/X6</f>
        <v>0.36268521634516193</v>
      </c>
    </row>
    <row r="79" spans="1:31">
      <c r="O79" s="71" t="s">
        <v>96</v>
      </c>
      <c r="P79" s="75">
        <f t="shared" ref="P79:T79" si="82">P70/P67</f>
        <v>2.5728987993138938E-3</v>
      </c>
      <c r="Q79" s="75">
        <f t="shared" si="82"/>
        <v>5.3380782918149459E-3</v>
      </c>
      <c r="R79" s="75">
        <f t="shared" si="82"/>
        <v>1.3888888888888888E-2</v>
      </c>
      <c r="S79" s="75">
        <f t="shared" si="82"/>
        <v>2.7322404371584699E-3</v>
      </c>
      <c r="T79" s="75">
        <f t="shared" si="82"/>
        <v>1.8744142455482662E-3</v>
      </c>
      <c r="U79" s="75">
        <f t="shared" ref="U79:V79" si="83">U70/U67</f>
        <v>0</v>
      </c>
      <c r="V79" s="75">
        <f t="shared" si="83"/>
        <v>0</v>
      </c>
      <c r="W79" s="75">
        <f>W70/W67</f>
        <v>2.0768431983385258E-3</v>
      </c>
      <c r="X79" s="167" t="s">
        <v>169</v>
      </c>
    </row>
    <row r="80" spans="1:31">
      <c r="O80" s="71" t="s">
        <v>97</v>
      </c>
      <c r="P80" s="72">
        <f>AVERAGE(P31:P31)/D4*365</f>
        <v>38.11822186881404</v>
      </c>
      <c r="Q80" s="72">
        <f t="shared" ref="Q80:W80" si="84">AVERAGE(P31:Q31)/E4*365</f>
        <v>36.226631655450703</v>
      </c>
      <c r="R80" s="72">
        <f t="shared" si="84"/>
        <v>48.223089649099713</v>
      </c>
      <c r="S80" s="72">
        <f t="shared" si="84"/>
        <v>34.568736686666725</v>
      </c>
      <c r="T80" s="72">
        <f t="shared" si="84"/>
        <v>23.797951810369579</v>
      </c>
      <c r="U80" s="72">
        <f t="shared" si="84"/>
        <v>21.374311579660162</v>
      </c>
      <c r="V80" s="72">
        <f t="shared" si="84"/>
        <v>25.307729596419954</v>
      </c>
      <c r="W80" s="72">
        <f t="shared" si="84"/>
        <v>29.16369652374842</v>
      </c>
      <c r="X80" s="167" t="s">
        <v>169</v>
      </c>
    </row>
    <row r="81" spans="15:31">
      <c r="O81" s="71" t="s">
        <v>98</v>
      </c>
      <c r="P81" s="72">
        <f>AVERAGE(P43:P43)/(SUM(D8:D12))*365</f>
        <v>83.663084546970325</v>
      </c>
      <c r="Q81" s="72">
        <f t="shared" ref="Q81:W81" si="85">AVERAGE(P43:Q43)/(SUM(E8:E12))*365</f>
        <v>73.109800070952332</v>
      </c>
      <c r="R81" s="72">
        <f t="shared" si="85"/>
        <v>101.62099693183151</v>
      </c>
      <c r="S81" s="72">
        <f t="shared" si="85"/>
        <v>91.291911003247748</v>
      </c>
      <c r="T81" s="72">
        <f t="shared" si="85"/>
        <v>86.466575806585865</v>
      </c>
      <c r="U81" s="72">
        <f t="shared" si="85"/>
        <v>63.226568397736678</v>
      </c>
      <c r="V81" s="72">
        <f t="shared" si="85"/>
        <v>59.372443034063458</v>
      </c>
      <c r="W81" s="72">
        <f t="shared" si="85"/>
        <v>69.155214744889662</v>
      </c>
      <c r="X81" s="167" t="s">
        <v>169</v>
      </c>
    </row>
    <row r="82" spans="15:31">
      <c r="O82" s="71" t="s">
        <v>99</v>
      </c>
      <c r="P82" s="72">
        <f>AVERAGE(P29:P29)/(SUM(D8:D12))*365</f>
        <v>82.086576077333376</v>
      </c>
      <c r="Q82" s="72">
        <f t="shared" ref="Q82:W82" si="86">AVERAGE(P29:Q29)/(SUM(E8:E12))*365</f>
        <v>68.843853571013469</v>
      </c>
      <c r="R82" s="72">
        <f t="shared" si="86"/>
        <v>92.831472430454923</v>
      </c>
      <c r="S82" s="72">
        <f t="shared" si="86"/>
        <v>104.23755557062434</v>
      </c>
      <c r="T82" s="72">
        <f t="shared" si="86"/>
        <v>132.87327509668708</v>
      </c>
      <c r="U82" s="72">
        <f t="shared" si="86"/>
        <v>90.236958141115807</v>
      </c>
      <c r="V82" s="72">
        <f t="shared" si="86"/>
        <v>71.262265879113102</v>
      </c>
      <c r="W82" s="72">
        <f t="shared" si="86"/>
        <v>82.813111268777533</v>
      </c>
      <c r="X82" s="167" t="s">
        <v>169</v>
      </c>
    </row>
    <row r="83" spans="15:31">
      <c r="O83" s="71" t="s">
        <v>100</v>
      </c>
      <c r="P83" s="72">
        <f t="shared" ref="P83:R83" si="87">P80+P82-P81</f>
        <v>36.541713399177084</v>
      </c>
      <c r="Q83" s="72">
        <f t="shared" si="87"/>
        <v>31.96068515551184</v>
      </c>
      <c r="R83" s="72">
        <f t="shared" si="87"/>
        <v>39.433565147723129</v>
      </c>
      <c r="S83" s="72">
        <f t="shared" ref="S83:T83" si="88">S80+S82-S81</f>
        <v>47.514381254043315</v>
      </c>
      <c r="T83" s="72">
        <f t="shared" si="88"/>
        <v>70.204651100470784</v>
      </c>
      <c r="U83" s="72">
        <f t="shared" ref="U83:V83" si="89">U80+U82-U81</f>
        <v>48.384701323039288</v>
      </c>
      <c r="V83" s="72">
        <f t="shared" si="89"/>
        <v>37.197552441469604</v>
      </c>
      <c r="W83" s="72">
        <f>W80+W82-W81</f>
        <v>42.821593047636298</v>
      </c>
      <c r="X83" s="167" t="s">
        <v>169</v>
      </c>
    </row>
    <row r="84" spans="15:31">
      <c r="O84" s="71" t="s">
        <v>101</v>
      </c>
      <c r="P84" s="72">
        <f>AVERAGE(P50:P50)/D4*365</f>
        <v>45.60287399665539</v>
      </c>
      <c r="Q84" s="72">
        <f t="shared" ref="Q84:W84" si="90">AVERAGE(P50:Q50)/E4*365</f>
        <v>40.165730806948872</v>
      </c>
      <c r="R84" s="72">
        <f t="shared" si="90"/>
        <v>51.807995079904771</v>
      </c>
      <c r="S84" s="72">
        <f t="shared" si="90"/>
        <v>62.538213403715417</v>
      </c>
      <c r="T84" s="72">
        <f t="shared" si="90"/>
        <v>89.741393869658054</v>
      </c>
      <c r="U84" s="72">
        <f t="shared" si="90"/>
        <v>64.355695901834054</v>
      </c>
      <c r="V84" s="72">
        <f t="shared" si="90"/>
        <v>48.986633624350802</v>
      </c>
      <c r="W84" s="72">
        <f t="shared" si="90"/>
        <v>61.914688376021871</v>
      </c>
      <c r="X84" s="167" t="s">
        <v>169</v>
      </c>
    </row>
    <row r="85" spans="15:31">
      <c r="O85" s="71" t="s">
        <v>102</v>
      </c>
      <c r="P85" s="74">
        <f t="shared" ref="P85:W85" si="91">D19/P10</f>
        <v>0.23924249524492103</v>
      </c>
      <c r="Q85" s="74">
        <f t="shared" si="91"/>
        <v>0.2228188234879438</v>
      </c>
      <c r="R85" s="74">
        <f t="shared" si="91"/>
        <v>0.25956420179619732</v>
      </c>
      <c r="S85" s="74">
        <f t="shared" si="91"/>
        <v>0.1408945748488373</v>
      </c>
      <c r="T85" s="74">
        <f t="shared" si="91"/>
        <v>0.14691423743750917</v>
      </c>
      <c r="U85" s="74">
        <f t="shared" si="91"/>
        <v>0.14283166615327247</v>
      </c>
      <c r="V85" s="74">
        <f t="shared" si="91"/>
        <v>0.16176303632092359</v>
      </c>
      <c r="W85" s="74">
        <f t="shared" si="91"/>
        <v>0.23671145335025545</v>
      </c>
      <c r="X85" s="167" t="s">
        <v>169</v>
      </c>
    </row>
    <row r="86" spans="15:31" ht="15" thickBot="1">
      <c r="O86" s="76" t="s">
        <v>103</v>
      </c>
      <c r="P86" s="77">
        <f t="shared" ref="P86:U86" si="92">(D21+D19)/D19</f>
        <v>2.0670660982448044</v>
      </c>
      <c r="Q86" s="77">
        <f t="shared" si="92"/>
        <v>1.6582232592475348</v>
      </c>
      <c r="R86" s="77">
        <f t="shared" si="92"/>
        <v>2.2385800626988308</v>
      </c>
      <c r="S86" s="77">
        <f t="shared" si="92"/>
        <v>5.6515346376613271</v>
      </c>
      <c r="T86" s="77">
        <f t="shared" si="92"/>
        <v>2.364974579696371</v>
      </c>
      <c r="U86" s="77">
        <f t="shared" si="92"/>
        <v>-0.79749088953939851</v>
      </c>
      <c r="V86" s="77">
        <f>(J21+J19)/J19</f>
        <v>2.4965620138108351</v>
      </c>
      <c r="W86" s="77">
        <f>(K21+K19)/K19</f>
        <v>0.75224367924731372</v>
      </c>
      <c r="X86" s="168" t="s">
        <v>169</v>
      </c>
      <c r="Y86" s="129"/>
      <c r="Z86" s="129"/>
      <c r="AA86" s="129"/>
      <c r="AB86" s="129"/>
      <c r="AC86" s="129"/>
      <c r="AD86" s="129"/>
      <c r="AE86" s="129"/>
    </row>
    <row r="87" spans="15:31" hidden="1">
      <c r="O87" t="s">
        <v>40</v>
      </c>
      <c r="P87" s="2">
        <f>P12-P13</f>
        <v>0</v>
      </c>
      <c r="Q87" s="2">
        <f>Q12-Q13</f>
        <v>0</v>
      </c>
      <c r="R87" s="2">
        <f>R12-R13</f>
        <v>0</v>
      </c>
      <c r="S87" s="1">
        <f>U12-U13</f>
        <v>1.5000000000100044E-2</v>
      </c>
    </row>
  </sheetData>
  <mergeCells count="3">
    <mergeCell ref="A1:L1"/>
    <mergeCell ref="A2:L2"/>
    <mergeCell ref="O2:X2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9:G49 H49:I49 Q80:Q82 R80:R82 S80:U80 S82:U82 V82 V80 V81" formulaRange="1"/>
    <ignoredError sqref="B64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2025-11-19T11:55:02Z</dcterms:modified>
</cp:coreProperties>
</file>