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Senco\Summary Sheet\Q2-FY26\"/>
    </mc:Choice>
  </mc:AlternateContent>
  <bookViews>
    <workbookView xWindow="0" yWindow="0" windowWidth="20490" windowHeight="7620"/>
  </bookViews>
  <sheets>
    <sheet name="Summary Sheet" sheetId="6" r:id="rId1"/>
    <sheet name="peer sheet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6" l="1"/>
  <c r="P76" i="6"/>
  <c r="P70" i="6"/>
  <c r="P69" i="6"/>
  <c r="P68" i="6"/>
  <c r="P64" i="6"/>
  <c r="P63" i="6"/>
  <c r="P61" i="6"/>
  <c r="P60" i="6"/>
  <c r="P56" i="6"/>
  <c r="P55" i="6"/>
  <c r="P46" i="6"/>
  <c r="P36" i="6"/>
  <c r="P26" i="6"/>
  <c r="P14" i="6"/>
  <c r="P11" i="6"/>
  <c r="P10" i="6"/>
  <c r="P7" i="6"/>
  <c r="G35" i="6"/>
  <c r="G34" i="6"/>
  <c r="G30" i="6"/>
  <c r="G29" i="6"/>
  <c r="G28" i="6"/>
  <c r="G26" i="6"/>
  <c r="G25" i="6"/>
  <c r="G24" i="6"/>
  <c r="G23" i="6"/>
  <c r="G22" i="6"/>
  <c r="G21" i="6"/>
  <c r="G17" i="6"/>
  <c r="G16" i="6"/>
  <c r="G15" i="6"/>
  <c r="G14" i="6"/>
  <c r="G8" i="6"/>
  <c r="H52" i="6"/>
  <c r="H55" i="6"/>
  <c r="H54" i="6"/>
  <c r="H53" i="6"/>
  <c r="H51" i="6"/>
  <c r="H48" i="6"/>
  <c r="H47" i="6"/>
  <c r="H46" i="6"/>
  <c r="H43" i="6"/>
  <c r="H42" i="6"/>
  <c r="H38" i="6"/>
  <c r="H28" i="6"/>
  <c r="H25" i="6"/>
  <c r="H24" i="6"/>
  <c r="H23" i="6"/>
  <c r="H21" i="6"/>
  <c r="H17" i="6"/>
  <c r="H14" i="6"/>
  <c r="H8" i="6"/>
  <c r="P48" i="6" l="1"/>
  <c r="P41" i="6"/>
  <c r="P12" i="6"/>
  <c r="G52" i="6"/>
  <c r="O70" i="6"/>
  <c r="N70" i="6"/>
  <c r="N73" i="6" l="1"/>
  <c r="M73" i="6"/>
  <c r="O73" i="6"/>
  <c r="L73" i="6"/>
  <c r="K73" i="6"/>
  <c r="O71" i="6"/>
  <c r="N71" i="6"/>
  <c r="M71" i="6"/>
  <c r="L71" i="6"/>
  <c r="K71" i="6"/>
  <c r="O60" i="6"/>
  <c r="O63" i="6" s="1"/>
  <c r="N60" i="6"/>
  <c r="N63" i="6" s="1"/>
  <c r="M60" i="6"/>
  <c r="L60" i="6"/>
  <c r="K60" i="6"/>
  <c r="G54" i="6"/>
  <c r="F54" i="6"/>
  <c r="E54" i="6"/>
  <c r="D54" i="6"/>
  <c r="C54" i="6"/>
  <c r="F52" i="6"/>
  <c r="C47" i="6"/>
  <c r="G47" i="6"/>
  <c r="G46" i="6"/>
  <c r="G48" i="6" s="1"/>
  <c r="F46" i="6"/>
  <c r="F48" i="6" s="1"/>
  <c r="E46" i="6"/>
  <c r="E48" i="6" s="1"/>
  <c r="D46" i="6"/>
  <c r="D48" i="6" s="1"/>
  <c r="C46" i="6"/>
  <c r="G42" i="6"/>
  <c r="G43" i="6" s="1"/>
  <c r="F42" i="6"/>
  <c r="F43" i="6" s="1"/>
  <c r="E42" i="6"/>
  <c r="E43" i="6" s="1"/>
  <c r="D42" i="6"/>
  <c r="D43" i="6" s="1"/>
  <c r="C42" i="6"/>
  <c r="C43" i="6" s="1"/>
  <c r="L41" i="6"/>
  <c r="K41" i="6"/>
  <c r="K72" i="6" s="1"/>
  <c r="C48" i="6" l="1"/>
  <c r="K74" i="6"/>
  <c r="L72" i="6"/>
  <c r="L74" i="6" s="1"/>
  <c r="N48" i="6"/>
  <c r="M48" i="6"/>
  <c r="L48" i="6"/>
  <c r="K48" i="6"/>
  <c r="O48" i="6"/>
  <c r="L36" i="6"/>
  <c r="K36" i="6"/>
  <c r="M41" i="6"/>
  <c r="N41" i="6"/>
  <c r="O41" i="6"/>
  <c r="O26" i="6"/>
  <c r="N26" i="6"/>
  <c r="M26" i="6"/>
  <c r="L26" i="6"/>
  <c r="K26" i="6"/>
  <c r="N14" i="6"/>
  <c r="M14" i="6"/>
  <c r="L14" i="6"/>
  <c r="K14" i="6"/>
  <c r="O14" i="6"/>
  <c r="O10" i="6"/>
  <c r="N10" i="6"/>
  <c r="M10" i="6"/>
  <c r="L10" i="6"/>
  <c r="K10" i="6"/>
  <c r="K6" i="6"/>
  <c r="L6" i="6"/>
  <c r="M6" i="6"/>
  <c r="O36" i="6" l="1"/>
  <c r="K55" i="6"/>
  <c r="M55" i="6"/>
  <c r="N78" i="6" s="1"/>
  <c r="E53" i="6"/>
  <c r="M76" i="6"/>
  <c r="F53" i="6"/>
  <c r="F55" i="6" s="1"/>
  <c r="N76" i="6"/>
  <c r="G53" i="6"/>
  <c r="G55" i="6" s="1"/>
  <c r="O76" i="6"/>
  <c r="K12" i="6"/>
  <c r="K78" i="6"/>
  <c r="C53" i="6"/>
  <c r="K76" i="6"/>
  <c r="N36" i="6"/>
  <c r="N46" i="6" s="1"/>
  <c r="N75" i="6" s="1"/>
  <c r="O72" i="6"/>
  <c r="O74" i="6" s="1"/>
  <c r="D53" i="6"/>
  <c r="L76" i="6"/>
  <c r="L69" i="6"/>
  <c r="M36" i="6"/>
  <c r="M12" i="6" s="1"/>
  <c r="N72" i="6"/>
  <c r="N74" i="6" s="1"/>
  <c r="M72" i="6"/>
  <c r="M74" i="6" s="1"/>
  <c r="L55" i="6"/>
  <c r="N55" i="6"/>
  <c r="O55" i="6"/>
  <c r="L46" i="6"/>
  <c r="L75" i="6" s="1"/>
  <c r="K46" i="6"/>
  <c r="K75" i="6" s="1"/>
  <c r="O46" i="6"/>
  <c r="O75" i="6" s="1"/>
  <c r="N7" i="6"/>
  <c r="M7" i="6"/>
  <c r="M11" i="6" s="1"/>
  <c r="L7" i="6"/>
  <c r="L11" i="6" s="1"/>
  <c r="K7" i="6"/>
  <c r="K11" i="6" s="1"/>
  <c r="O7" i="6"/>
  <c r="O61" i="6" s="1"/>
  <c r="F35" i="6"/>
  <c r="F34" i="6"/>
  <c r="E34" i="6"/>
  <c r="D34" i="6"/>
  <c r="G7" i="6"/>
  <c r="F7" i="6"/>
  <c r="G6" i="6"/>
  <c r="F6" i="6"/>
  <c r="E6" i="6"/>
  <c r="D6" i="6"/>
  <c r="F22" i="6"/>
  <c r="F8" i="6"/>
  <c r="F14" i="6" s="1"/>
  <c r="E8" i="6"/>
  <c r="E14" i="6" s="1"/>
  <c r="E17" i="6" s="1"/>
  <c r="D8" i="6"/>
  <c r="D14" i="6" s="1"/>
  <c r="D17" i="6" s="1"/>
  <c r="C8" i="6"/>
  <c r="C14" i="6" s="1"/>
  <c r="C17" i="6" s="1"/>
  <c r="O12" i="6" l="1"/>
  <c r="M68" i="6"/>
  <c r="M69" i="6"/>
  <c r="N65" i="6"/>
  <c r="M46" i="6"/>
  <c r="M75" i="6" s="1"/>
  <c r="L68" i="6"/>
  <c r="N11" i="6"/>
  <c r="N61" i="6"/>
  <c r="N64" i="6" s="1"/>
  <c r="L12" i="6"/>
  <c r="M78" i="6"/>
  <c r="N68" i="6"/>
  <c r="L78" i="6"/>
  <c r="O11" i="6"/>
  <c r="O64" i="6"/>
  <c r="O69" i="6"/>
  <c r="F16" i="6"/>
  <c r="K68" i="6"/>
  <c r="N69" i="6"/>
  <c r="O68" i="6"/>
  <c r="N12" i="6"/>
  <c r="O78" i="6"/>
  <c r="K69" i="6"/>
  <c r="O65" i="6"/>
  <c r="M56" i="6"/>
  <c r="K56" i="6"/>
  <c r="N56" i="6"/>
  <c r="L56" i="6"/>
  <c r="O56" i="6"/>
  <c r="D15" i="6"/>
  <c r="E15" i="6"/>
  <c r="F17" i="6"/>
  <c r="F15" i="6"/>
  <c r="D21" i="6"/>
  <c r="O67" i="6"/>
  <c r="E21" i="6"/>
  <c r="C21" i="6"/>
  <c r="F21" i="6"/>
  <c r="N67" i="6" l="1"/>
  <c r="D23" i="6"/>
  <c r="L77" i="6"/>
  <c r="C23" i="6"/>
  <c r="K77" i="6"/>
  <c r="K67" i="6"/>
  <c r="M67" i="6"/>
  <c r="F24" i="6"/>
  <c r="N66" i="6" s="1"/>
  <c r="N77" i="6"/>
  <c r="L67" i="6"/>
  <c r="E23" i="6"/>
  <c r="M77" i="6"/>
  <c r="O66" i="6"/>
  <c r="O77" i="6"/>
  <c r="F23" i="6"/>
  <c r="C24" i="6"/>
  <c r="E24" i="6"/>
  <c r="D24" i="6"/>
  <c r="F25" i="6" l="1"/>
  <c r="F28" i="6"/>
  <c r="D25" i="6"/>
  <c r="L66" i="6"/>
  <c r="E25" i="6"/>
  <c r="M66" i="6"/>
  <c r="C25" i="6"/>
  <c r="K66" i="6"/>
  <c r="F26" i="6"/>
  <c r="D28" i="6"/>
  <c r="E28" i="6"/>
  <c r="C28" i="6"/>
  <c r="F30" i="6" s="1"/>
  <c r="D29" i="6" l="1"/>
  <c r="E29" i="6"/>
  <c r="F29" i="6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G45" i="2" s="1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D26" i="2" s="1"/>
  <c r="E25" i="2"/>
  <c r="E26" i="2" s="1"/>
  <c r="D21" i="2" l="1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4" i="2"/>
  <c r="E20" i="2"/>
  <c r="E54" i="2" s="1"/>
  <c r="D20" i="2"/>
  <c r="D54" i="2" s="1"/>
  <c r="D46" i="2"/>
  <c r="D38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E59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D59" i="2" l="1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<sst xmlns="http://schemas.openxmlformats.org/spreadsheetml/2006/main" count="286" uniqueCount="168">
  <si>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</si>
  <si>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</si>
  <si>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</si>
  <si>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</si>
  <si>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</si>
  <si>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</si>
  <si>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</si>
  <si>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</si>
  <si>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</si>
  <si>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</si>
  <si>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</si>
  <si>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</si>
  <si>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</si>
  <si>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</si>
  <si>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</si>
  <si>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</si>
  <si>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</si>
  <si>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</si>
  <si>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</si>
  <si>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</si>
  <si>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</si>
  <si>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</si>
  <si>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</si>
  <si>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</si>
  <si>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</si>
  <si>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Inventories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</si>
  <si>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</si>
  <si>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</si>
  <si>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</si>
  <si>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</si>
  <si>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</si>
  <si>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</si>
  <si>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</si>
  <si>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</si>
  <si>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</si>
  <si>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</si>
  <si>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</si>
  <si>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</si>
  <si>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</si>
  <si>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</si>
  <si>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</si>
  <si>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</si>
  <si>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</si>
  <si>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</si>
  <si>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</si>
  <si>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</si>
  <si>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</si>
  <si>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</si>
  <si>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</si>
  <si>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</si>
  <si>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</si>
  <si>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</si>
  <si>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</si>
  <si>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</si>
  <si>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</si>
  <si>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</si>
  <si>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</si>
  <si>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</si>
  <si>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</si>
  <si>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</si>
  <si>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</si>
  <si>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</si>
  <si>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</si>
  <si>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</si>
  <si>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</si>
  <si>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</si>
  <si>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</si>
  <si>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</si>
  <si>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</si>
  <si>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</si>
  <si>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</si>
  <si>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</si>
  <si>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</si>
  <si>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</si>
  <si>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</si>
  <si>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</si>
  <si>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</si>
  <si>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</si>
  <si>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</si>
  <si>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</si>
  <si>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</si>
  <si>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</si>
  <si>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</si>
  <si>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</si>
  <si>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</si>
  <si>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</si>
  <si>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</si>
  <si>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</si>
  <si>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</si>
  <si>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</si>
  <si>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</si>
  <si>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</si>
  <si>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</si>
  <si>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</si>
  <si>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</si>
  <si>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</si>
  <si>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</si>
  <si>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</si>
  <si>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</si>
  <si>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</si>
  <si>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</si>
  <si>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</si>
  <si>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</si>
  <si>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</si>
  <si>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</si>
  <si>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</si>
  <si>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</si>
  <si>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</si>
  <si>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</si>
  <si>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</si>
  <si>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</si>
  <si>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</si>
  <si>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</si>
  <si>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</si>
  <si>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NON CURRENT LIABILITIES</t>
  </si>
  <si>
    <t>FY23</t>
  </si>
  <si>
    <t>Market Cap (Rs. Mn)</t>
  </si>
  <si>
    <t>FY24</t>
  </si>
  <si>
    <t>FY25</t>
  </si>
  <si>
    <t>Other income</t>
  </si>
  <si>
    <t>Depreciation and amortisation expense</t>
  </si>
  <si>
    <t>Finance costs</t>
  </si>
  <si>
    <t>Basic</t>
  </si>
  <si>
    <t>Diluted</t>
  </si>
  <si>
    <t>Right-of-use assets</t>
  </si>
  <si>
    <t xml:space="preserve">Intangible assets </t>
  </si>
  <si>
    <t>(i) Invetsments</t>
  </si>
  <si>
    <t>Other non-current assets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</si>
  <si>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</si>
  <si>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</si>
  <si>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</si>
  <si>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</si>
  <si>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</si>
  <si>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</si>
  <si>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</si>
  <si>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Cash Flow Statement (INR Mn)</t>
  </si>
  <si>
    <t>Ratios</t>
  </si>
  <si>
    <t>INR Mn</t>
  </si>
  <si>
    <t>Other expenses</t>
  </si>
  <si>
    <t>Equity Share Capital</t>
  </si>
  <si>
    <t>(iii) Trade payables</t>
  </si>
  <si>
    <t>Current tax liabilities (net)</t>
  </si>
  <si>
    <t>(ii) Cash and cash equivalents</t>
  </si>
  <si>
    <t>(iii) Other bank balances</t>
  </si>
  <si>
    <t xml:space="preserve">(iv) Loans </t>
  </si>
  <si>
    <t>(iv) Other financial liabilities</t>
  </si>
  <si>
    <t>Total Comprehensive Income</t>
  </si>
  <si>
    <t>Year Ended (INR Mn)</t>
  </si>
  <si>
    <t>Changes in inventories of finished goods and stock- in-trade</t>
  </si>
  <si>
    <t>Purchase of stock-in-trade</t>
  </si>
  <si>
    <t>Cost of materials consumed</t>
  </si>
  <si>
    <t>Employee benefits expense</t>
  </si>
  <si>
    <t>N/A</t>
  </si>
  <si>
    <t>Senco Gold Limited</t>
  </si>
  <si>
    <t>Other Equity</t>
  </si>
  <si>
    <t>(ii) Other financial assets</t>
  </si>
  <si>
    <t>Deferred tax assets (net)</t>
  </si>
  <si>
    <t>Income tax assets (net)</t>
  </si>
  <si>
    <t>CURRENT ASSETS</t>
  </si>
  <si>
    <t>Capital work-in-progress</t>
  </si>
  <si>
    <t>(i) Trade receivable</t>
  </si>
  <si>
    <t>(ii) Gold metal loans</t>
  </si>
  <si>
    <t>(iii) Other financial liabilities</t>
  </si>
  <si>
    <t>Other non-current liabilities</t>
  </si>
  <si>
    <t>TOTAL LIABILITIES &amp; EQUITY</t>
  </si>
  <si>
    <t>(V) Other financial assets</t>
  </si>
  <si>
    <t>H1-FY26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</si>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</sst>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_ ;_ * \-#,##0.0_ ;_ * &quot;-&quot;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1" fillId="2" borderId="1" xfId="0" applyFont="1" applyFill="1" applyBorder="1"/>
    <xf numFmtId="167" fontId="0" fillId="0" borderId="1" xfId="1" applyNumberFormat="1" applyFont="1" applyBorder="1"/>
    <xf numFmtId="167" fontId="0" fillId="0" borderId="1" xfId="1" applyNumberFormat="1" applyFont="1" applyFill="1" applyBorder="1"/>
    <xf numFmtId="167" fontId="0" fillId="0" borderId="1" xfId="0" applyNumberFormat="1" applyBorder="1"/>
    <xf numFmtId="165" fontId="0" fillId="0" borderId="1" xfId="2" applyNumberFormat="1" applyFont="1" applyBorder="1"/>
    <xf numFmtId="167" fontId="1" fillId="0" borderId="1" xfId="1" applyNumberFormat="1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right"/>
    </xf>
    <xf numFmtId="10" fontId="6" fillId="4" borderId="1" xfId="2" applyNumberFormat="1" applyFont="1" applyFill="1" applyBorder="1"/>
    <xf numFmtId="0" fontId="1" fillId="5" borderId="1" xfId="0" applyFont="1" applyFill="1" applyBorder="1"/>
    <xf numFmtId="167" fontId="1" fillId="5" borderId="1" xfId="1" applyNumberFormat="1" applyFont="1" applyFill="1" applyBorder="1"/>
    <xf numFmtId="0" fontId="1" fillId="4" borderId="1" xfId="0" applyFont="1" applyFill="1" applyBorder="1"/>
    <xf numFmtId="10" fontId="1" fillId="4" borderId="1" xfId="2" applyNumberFormat="1" applyFont="1" applyFill="1" applyBorder="1"/>
    <xf numFmtId="167" fontId="0" fillId="0" borderId="0" xfId="1" applyNumberFormat="1" applyFont="1"/>
    <xf numFmtId="0" fontId="1" fillId="5" borderId="1" xfId="0" applyFont="1" applyFill="1" applyBorder="1" applyAlignment="1">
      <alignment horizontal="left"/>
    </xf>
    <xf numFmtId="167" fontId="4" fillId="0" borderId="1" xfId="1" applyNumberFormat="1" applyFont="1" applyFill="1" applyBorder="1"/>
    <xf numFmtId="0" fontId="1" fillId="3" borderId="1" xfId="0" applyFont="1" applyFill="1" applyBorder="1" applyAlignment="1">
      <alignment horizontal="left"/>
    </xf>
    <xf numFmtId="0" fontId="3" fillId="5" borderId="1" xfId="0" applyFont="1" applyFill="1" applyBorder="1"/>
    <xf numFmtId="0" fontId="9" fillId="0" borderId="0" xfId="0" applyFont="1"/>
    <xf numFmtId="167" fontId="4" fillId="0" borderId="1" xfId="1" applyNumberFormat="1" applyFont="1" applyBorder="1"/>
    <xf numFmtId="167" fontId="10" fillId="0" borderId="1" xfId="1" applyNumberFormat="1" applyFont="1" applyBorder="1"/>
    <xf numFmtId="43" fontId="0" fillId="0" borderId="1" xfId="1" applyFont="1" applyBorder="1" applyAlignment="1">
      <alignment horizontal="right"/>
    </xf>
    <xf numFmtId="43" fontId="1" fillId="5" borderId="1" xfId="0" applyNumberFormat="1" applyFont="1" applyFill="1" applyBorder="1"/>
    <xf numFmtId="43" fontId="1" fillId="5" borderId="1" xfId="1" applyFont="1" applyFill="1" applyBorder="1"/>
    <xf numFmtId="168" fontId="0" fillId="0" borderId="0" xfId="0" applyNumberFormat="1"/>
    <xf numFmtId="167" fontId="0" fillId="2" borderId="1" xfId="1" applyNumberFormat="1" applyFont="1" applyFill="1" applyBorder="1"/>
    <xf numFmtId="165" fontId="0" fillId="2" borderId="1" xfId="2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7" fontId="0" fillId="2" borderId="1" xfId="1" applyNumberFormat="1" applyFont="1" applyFill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43" fontId="0" fillId="0" borderId="1" xfId="1" applyNumberFormat="1" applyFont="1" applyBorder="1"/>
    <xf numFmtId="43" fontId="0" fillId="0" borderId="0" xfId="0" applyNumberFormat="1"/>
    <xf numFmtId="0" fontId="1" fillId="0" borderId="7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8"/>
  <sheetViews>
    <sheetView tabSelected="1" topLeftCell="B1" zoomScale="80" zoomScaleNormal="80" workbookViewId="0">
      <selection activeCell="J66" sqref="J66"/>
    </sheetView>
  </sheetViews>
  <sheetFormatPr defaultRowHeight="15" x14ac:dyDescent="0.25"/>
  <cols>
    <col min="2" max="2" width="59.28515625" customWidth="1"/>
    <col min="3" max="3" width="14.7109375" bestFit="1" customWidth="1"/>
    <col min="4" max="4" width="14.42578125" bestFit="1" customWidth="1"/>
    <col min="5" max="5" width="14" bestFit="1" customWidth="1"/>
    <col min="6" max="6" width="15.28515625" bestFit="1" customWidth="1"/>
    <col min="7" max="7" width="16.28515625" bestFit="1" customWidth="1"/>
    <col min="8" max="8" width="16.28515625" customWidth="1"/>
    <col min="10" max="10" width="39.28515625" bestFit="1" customWidth="1"/>
    <col min="11" max="11" width="12.85546875" bestFit="1" customWidth="1"/>
    <col min="12" max="12" width="13.5703125" customWidth="1"/>
    <col min="13" max="15" width="13.140625" bestFit="1" customWidth="1"/>
    <col min="16" max="16" width="13.140625" customWidth="1"/>
  </cols>
  <sheetData>
    <row r="2" spans="2:16" x14ac:dyDescent="0.25">
      <c r="B2" s="80" t="s">
        <v>153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2:16" x14ac:dyDescent="0.25">
      <c r="B3" s="79" t="s">
        <v>15</v>
      </c>
      <c r="C3" s="79"/>
      <c r="D3" s="79"/>
      <c r="E3" s="79"/>
      <c r="F3" s="79"/>
      <c r="G3" s="79"/>
      <c r="H3" s="79"/>
      <c r="J3" s="79" t="s">
        <v>21</v>
      </c>
      <c r="K3" s="79"/>
      <c r="L3" s="79"/>
      <c r="M3" s="79"/>
      <c r="N3" s="79"/>
      <c r="O3" s="79"/>
      <c r="P3" s="79"/>
    </row>
    <row r="4" spans="2:16" x14ac:dyDescent="0.25">
      <c r="B4" s="48" t="s">
        <v>147</v>
      </c>
      <c r="C4" s="49" t="s">
        <v>14</v>
      </c>
      <c r="D4" s="49" t="s">
        <v>65</v>
      </c>
      <c r="E4" s="49" t="s">
        <v>115</v>
      </c>
      <c r="F4" s="49" t="s">
        <v>117</v>
      </c>
      <c r="G4" s="49" t="s">
        <v>118</v>
      </c>
      <c r="H4" s="49" t="s">
        <v>166</v>
      </c>
      <c r="J4" s="48" t="s">
        <v>147</v>
      </c>
      <c r="K4" s="49" t="s">
        <v>14</v>
      </c>
      <c r="L4" s="49" t="s">
        <v>65</v>
      </c>
      <c r="M4" s="49" t="s">
        <v>115</v>
      </c>
      <c r="N4" s="49" t="s">
        <v>117</v>
      </c>
      <c r="O4" s="49" t="s">
        <v>118</v>
      </c>
      <c r="P4" s="49" t="s">
        <v>166</v>
      </c>
    </row>
    <row r="5" spans="2:16" x14ac:dyDescent="0.25">
      <c r="B5" s="37" t="s">
        <v>0</v>
      </c>
      <c r="C5" s="47">
        <v>26603.79</v>
      </c>
      <c r="D5" s="47">
        <v>35346.410000000003</v>
      </c>
      <c r="E5" s="47">
        <v>40774.04</v>
      </c>
      <c r="F5" s="47">
        <v>52414.43</v>
      </c>
      <c r="G5" s="47">
        <v>63280.72</v>
      </c>
      <c r="H5" s="47">
        <v>33623.910000000003</v>
      </c>
      <c r="J5" s="36" t="s">
        <v>139</v>
      </c>
      <c r="K5" s="59">
        <v>531.86</v>
      </c>
      <c r="L5" s="43">
        <v>531.86</v>
      </c>
      <c r="M5" s="43">
        <v>558.5</v>
      </c>
      <c r="N5" s="43">
        <v>777.04</v>
      </c>
      <c r="O5" s="43">
        <v>818.4</v>
      </c>
      <c r="P5" s="43">
        <v>818.59</v>
      </c>
    </row>
    <row r="6" spans="2:16" x14ac:dyDescent="0.25">
      <c r="B6" s="50" t="s">
        <v>1</v>
      </c>
      <c r="C6" s="51" t="s">
        <v>152</v>
      </c>
      <c r="D6" s="52">
        <f>(D5/C5-1)</f>
        <v>0.32862310219709312</v>
      </c>
      <c r="E6" s="52">
        <f t="shared" ref="E6:G6" si="0">(E5/D5-1)</f>
        <v>0.15355533984922354</v>
      </c>
      <c r="F6" s="52">
        <f t="shared" si="0"/>
        <v>0.28548532350485756</v>
      </c>
      <c r="G6" s="52">
        <f t="shared" si="0"/>
        <v>0.2073148558517186</v>
      </c>
      <c r="H6" s="52"/>
      <c r="J6" s="36" t="s">
        <v>154</v>
      </c>
      <c r="K6" s="43">
        <f>132.96+5361.38</f>
        <v>5494.34</v>
      </c>
      <c r="L6" s="43">
        <f>132.96+6594.85</f>
        <v>6727.81</v>
      </c>
      <c r="M6" s="43">
        <f>132.96+8763.74</f>
        <v>8896.6999999999989</v>
      </c>
      <c r="N6" s="43">
        <v>12878.38</v>
      </c>
      <c r="O6" s="43">
        <v>18884.52</v>
      </c>
      <c r="P6" s="43">
        <v>20252.16</v>
      </c>
    </row>
    <row r="7" spans="2:16" x14ac:dyDescent="0.25">
      <c r="B7" s="50" t="s">
        <v>2</v>
      </c>
      <c r="C7" s="51" t="s">
        <v>152</v>
      </c>
      <c r="D7" s="51" t="s">
        <v>152</v>
      </c>
      <c r="E7" s="51" t="s">
        <v>152</v>
      </c>
      <c r="F7" s="52">
        <f>((F5/C5)^(1/3)-1)</f>
        <v>0.25362925605403985</v>
      </c>
      <c r="G7" s="52">
        <f t="shared" ref="G7" si="1">((G5/D5)^(1/3)-1)</f>
        <v>0.21425164464222202</v>
      </c>
      <c r="H7" s="52"/>
      <c r="J7" s="58" t="s">
        <v>16</v>
      </c>
      <c r="K7" s="54">
        <f t="shared" ref="K7:N7" si="2">K6+K5</f>
        <v>6026.2</v>
      </c>
      <c r="L7" s="54">
        <f t="shared" si="2"/>
        <v>7259.67</v>
      </c>
      <c r="M7" s="54">
        <f t="shared" si="2"/>
        <v>9455.1999999999989</v>
      </c>
      <c r="N7" s="54">
        <f t="shared" si="2"/>
        <v>13655.419999999998</v>
      </c>
      <c r="O7" s="54">
        <f>O6+O5</f>
        <v>19702.920000000002</v>
      </c>
      <c r="P7" s="54">
        <f>P6+P5</f>
        <v>21070.75</v>
      </c>
    </row>
    <row r="8" spans="2:16" x14ac:dyDescent="0.25">
      <c r="B8" s="53" t="s">
        <v>3</v>
      </c>
      <c r="C8" s="54">
        <f t="shared" ref="C8:F8" si="3">SUM(C9:C13)</f>
        <v>24850.550000000003</v>
      </c>
      <c r="D8" s="54">
        <f t="shared" si="3"/>
        <v>32574.569999999996</v>
      </c>
      <c r="E8" s="54">
        <f t="shared" si="3"/>
        <v>37607.820000000007</v>
      </c>
      <c r="F8" s="54">
        <f t="shared" si="3"/>
        <v>48659.33</v>
      </c>
      <c r="G8" s="54">
        <f>SUM(G9:G13)</f>
        <v>59604.409999999996</v>
      </c>
      <c r="H8" s="54">
        <f>SUM(H9:H13)</f>
        <v>30722.9</v>
      </c>
      <c r="J8" s="36" t="s">
        <v>17</v>
      </c>
      <c r="K8" s="44">
        <v>4.0599999999999996</v>
      </c>
      <c r="L8" s="44">
        <v>3.95</v>
      </c>
      <c r="M8" s="44">
        <v>14.26</v>
      </c>
      <c r="N8" s="43">
        <v>10.54</v>
      </c>
      <c r="O8" s="43">
        <v>11.23</v>
      </c>
      <c r="P8" s="43">
        <v>8.84</v>
      </c>
    </row>
    <row r="9" spans="2:16" x14ac:dyDescent="0.25">
      <c r="B9" s="34" t="s">
        <v>150</v>
      </c>
      <c r="C9" s="43">
        <v>18413.89</v>
      </c>
      <c r="D9" s="43">
        <v>28335.51</v>
      </c>
      <c r="E9" s="43">
        <v>29722.19</v>
      </c>
      <c r="F9" s="43">
        <v>38971.699999999997</v>
      </c>
      <c r="G9" s="43">
        <v>48492.69</v>
      </c>
      <c r="H9" s="43">
        <v>30998.5</v>
      </c>
      <c r="J9" s="36" t="s">
        <v>18</v>
      </c>
      <c r="K9" s="43">
        <v>5320.38</v>
      </c>
      <c r="L9" s="43">
        <v>8625.7199999999993</v>
      </c>
      <c r="M9" s="43">
        <v>11778.44</v>
      </c>
      <c r="N9" s="43">
        <v>5890.69</v>
      </c>
      <c r="O9" s="43">
        <v>5861.24</v>
      </c>
      <c r="P9" s="43">
        <v>10434.08</v>
      </c>
    </row>
    <row r="10" spans="2:16" x14ac:dyDescent="0.25">
      <c r="B10" s="34" t="s">
        <v>149</v>
      </c>
      <c r="C10" s="43">
        <v>2903.47</v>
      </c>
      <c r="D10" s="43">
        <v>5643.8</v>
      </c>
      <c r="E10" s="43">
        <v>8460.7800000000007</v>
      </c>
      <c r="F10" s="43">
        <v>10084.14</v>
      </c>
      <c r="G10" s="43">
        <v>13111.32</v>
      </c>
      <c r="H10" s="43">
        <v>9049.6200000000008</v>
      </c>
      <c r="J10" s="58" t="s">
        <v>19</v>
      </c>
      <c r="K10" s="54">
        <f>K9+K8</f>
        <v>5324.4400000000005</v>
      </c>
      <c r="L10" s="54">
        <f t="shared" ref="L10:O10" si="4">L9+L8</f>
        <v>8629.67</v>
      </c>
      <c r="M10" s="54">
        <f t="shared" si="4"/>
        <v>11792.7</v>
      </c>
      <c r="N10" s="54">
        <f t="shared" si="4"/>
        <v>5901.23</v>
      </c>
      <c r="O10" s="54">
        <f t="shared" si="4"/>
        <v>5872.4699999999993</v>
      </c>
      <c r="P10" s="54">
        <f>P9+P8</f>
        <v>10442.92</v>
      </c>
    </row>
    <row r="11" spans="2:16" x14ac:dyDescent="0.25">
      <c r="B11" s="34" t="s">
        <v>148</v>
      </c>
      <c r="C11" s="43">
        <v>1536.58</v>
      </c>
      <c r="D11" s="43">
        <v>-4173.91</v>
      </c>
      <c r="E11" s="43">
        <v>-3963.63</v>
      </c>
      <c r="F11" s="43">
        <v>-4655.3100000000004</v>
      </c>
      <c r="G11" s="43">
        <v>-6838.51</v>
      </c>
      <c r="H11" s="43">
        <v>-12529.4</v>
      </c>
      <c r="J11" s="58" t="s">
        <v>20</v>
      </c>
      <c r="K11" s="54">
        <f>K7+K48</f>
        <v>7374.3899999999994</v>
      </c>
      <c r="L11" s="54">
        <f t="shared" ref="L11:O11" si="5">L7+L48</f>
        <v>8723.880000000001</v>
      </c>
      <c r="M11" s="54">
        <f t="shared" si="5"/>
        <v>11611.179999999998</v>
      </c>
      <c r="N11" s="54">
        <f t="shared" si="5"/>
        <v>16111.099999999999</v>
      </c>
      <c r="O11" s="54">
        <f t="shared" si="5"/>
        <v>22353.910000000003</v>
      </c>
      <c r="P11" s="54">
        <f>P7+P48</f>
        <v>23881.360000000001</v>
      </c>
    </row>
    <row r="12" spans="2:16" x14ac:dyDescent="0.25">
      <c r="B12" s="34" t="s">
        <v>151</v>
      </c>
      <c r="C12" s="43">
        <v>521.80999999999995</v>
      </c>
      <c r="D12" s="43">
        <v>747.67</v>
      </c>
      <c r="E12" s="43">
        <v>933.8</v>
      </c>
      <c r="F12" s="43">
        <v>1112.29</v>
      </c>
      <c r="G12" s="43">
        <v>1390.77</v>
      </c>
      <c r="H12" s="43">
        <v>836.91</v>
      </c>
      <c r="J12" s="58" t="s">
        <v>20</v>
      </c>
      <c r="K12" s="54">
        <f>K55-K36</f>
        <v>7374.3900000000012</v>
      </c>
      <c r="L12" s="54">
        <f t="shared" ref="L12:O12" si="6">L55-L36</f>
        <v>8723.8800000000028</v>
      </c>
      <c r="M12" s="54">
        <f t="shared" si="6"/>
        <v>11611.18</v>
      </c>
      <c r="N12" s="54">
        <f t="shared" si="6"/>
        <v>16111.100000000002</v>
      </c>
      <c r="O12" s="54">
        <f t="shared" si="6"/>
        <v>22353.910000000003</v>
      </c>
      <c r="P12" s="54">
        <f>P55-P36</f>
        <v>23881.360000000001</v>
      </c>
    </row>
    <row r="13" spans="2:16" x14ac:dyDescent="0.25">
      <c r="B13" s="34" t="s">
        <v>138</v>
      </c>
      <c r="C13" s="43">
        <v>1474.8</v>
      </c>
      <c r="D13" s="43">
        <v>2021.5</v>
      </c>
      <c r="E13" s="43">
        <v>2454.6799999999998</v>
      </c>
      <c r="F13" s="43">
        <v>3146.51</v>
      </c>
      <c r="G13" s="43">
        <v>3448.14</v>
      </c>
      <c r="H13" s="43">
        <v>2367.27</v>
      </c>
      <c r="K13" s="57"/>
      <c r="L13" s="57"/>
      <c r="M13" s="57"/>
      <c r="N13" s="57"/>
      <c r="O13" s="57"/>
      <c r="P13" s="57"/>
    </row>
    <row r="14" spans="2:16" x14ac:dyDescent="0.25">
      <c r="B14" s="53" t="s">
        <v>4</v>
      </c>
      <c r="C14" s="54">
        <f t="shared" ref="C14:F14" si="7">C5-C8</f>
        <v>1753.239999999998</v>
      </c>
      <c r="D14" s="54">
        <f t="shared" si="7"/>
        <v>2771.8400000000074</v>
      </c>
      <c r="E14" s="54">
        <f t="shared" si="7"/>
        <v>3166.2199999999939</v>
      </c>
      <c r="F14" s="54">
        <f t="shared" si="7"/>
        <v>3755.0999999999985</v>
      </c>
      <c r="G14" s="54">
        <f>G5-G8</f>
        <v>3676.3100000000049</v>
      </c>
      <c r="H14" s="54">
        <f>H5-H8</f>
        <v>2901.010000000002</v>
      </c>
      <c r="J14" s="58" t="s">
        <v>22</v>
      </c>
      <c r="K14" s="54">
        <f t="shared" ref="K14:N14" si="8">SUM(K15:K24)</f>
        <v>2911.69</v>
      </c>
      <c r="L14" s="54">
        <f t="shared" si="8"/>
        <v>2988.1300000000006</v>
      </c>
      <c r="M14" s="54">
        <f t="shared" si="8"/>
        <v>4043.17</v>
      </c>
      <c r="N14" s="54">
        <f t="shared" si="8"/>
        <v>4392.8499999999995</v>
      </c>
      <c r="O14" s="54">
        <f>SUM(O15:O24)</f>
        <v>4971.97</v>
      </c>
      <c r="P14" s="54">
        <f>SUM(P15:P24)</f>
        <v>5530.0599999999995</v>
      </c>
    </row>
    <row r="15" spans="2:16" x14ac:dyDescent="0.25">
      <c r="B15" s="50" t="s">
        <v>1</v>
      </c>
      <c r="C15" s="51" t="s">
        <v>152</v>
      </c>
      <c r="D15" s="52">
        <f t="shared" ref="D15:F15" si="9">D14/C14-1</f>
        <v>0.58098149711392089</v>
      </c>
      <c r="E15" s="52">
        <f t="shared" si="9"/>
        <v>0.14228093973677614</v>
      </c>
      <c r="F15" s="52">
        <f t="shared" si="9"/>
        <v>0.18598833940787629</v>
      </c>
      <c r="G15" s="52">
        <f>G14/F14-1</f>
        <v>-2.098213096854773E-2</v>
      </c>
      <c r="H15" s="52"/>
      <c r="J15" s="36" t="s">
        <v>23</v>
      </c>
      <c r="K15" s="43">
        <v>673.84</v>
      </c>
      <c r="L15" s="43">
        <v>691</v>
      </c>
      <c r="M15" s="43">
        <v>847.02</v>
      </c>
      <c r="N15" s="43">
        <v>1158.24</v>
      </c>
      <c r="O15" s="43">
        <v>1376.12</v>
      </c>
      <c r="P15" s="43">
        <v>1492.37</v>
      </c>
    </row>
    <row r="16" spans="2:16" x14ac:dyDescent="0.25">
      <c r="B16" s="50" t="s">
        <v>2</v>
      </c>
      <c r="C16" s="51" t="s">
        <v>152</v>
      </c>
      <c r="D16" s="51" t="s">
        <v>152</v>
      </c>
      <c r="E16" s="51" t="s">
        <v>152</v>
      </c>
      <c r="F16" s="52">
        <f>((F14/C14)^(1/3)-1)</f>
        <v>0.28902115671251227</v>
      </c>
      <c r="G16" s="52">
        <f>((G14/D14)^(1/3)-1)</f>
        <v>9.8705560884150056E-2</v>
      </c>
      <c r="H16" s="52"/>
      <c r="J16" s="36" t="s">
        <v>159</v>
      </c>
      <c r="K16" s="43">
        <v>24.38</v>
      </c>
      <c r="L16" s="43">
        <v>65.14</v>
      </c>
      <c r="M16" s="43">
        <v>130.63999999999999</v>
      </c>
      <c r="N16" s="43">
        <v>14.94</v>
      </c>
      <c r="O16" s="43">
        <v>19.86</v>
      </c>
      <c r="P16" s="43">
        <v>15.67</v>
      </c>
    </row>
    <row r="17" spans="2:16" x14ac:dyDescent="0.25">
      <c r="B17" s="55" t="s">
        <v>5</v>
      </c>
      <c r="C17" s="56">
        <f t="shared" ref="C17:F17" si="10">C14/C5</f>
        <v>6.5901888415146784E-2</v>
      </c>
      <c r="D17" s="56">
        <f t="shared" si="10"/>
        <v>7.8419279355385937E-2</v>
      </c>
      <c r="E17" s="56">
        <f t="shared" si="10"/>
        <v>7.7652839895188064E-2</v>
      </c>
      <c r="F17" s="56">
        <f t="shared" si="10"/>
        <v>7.1642484712702181E-2</v>
      </c>
      <c r="G17" s="56">
        <f>G14/G5</f>
        <v>5.8095261874390888E-2</v>
      </c>
      <c r="H17" s="56">
        <f>H14/H5</f>
        <v>8.6278187159078215E-2</v>
      </c>
      <c r="I17" s="62"/>
      <c r="J17" s="36" t="s">
        <v>124</v>
      </c>
      <c r="K17" s="43">
        <v>1417.26</v>
      </c>
      <c r="L17" s="43">
        <v>1516.2</v>
      </c>
      <c r="M17" s="43">
        <v>1926.7</v>
      </c>
      <c r="N17" s="43">
        <v>2434.08</v>
      </c>
      <c r="O17" s="43">
        <v>2643.56</v>
      </c>
      <c r="P17" s="43">
        <v>2827.92</v>
      </c>
    </row>
    <row r="18" spans="2:16" x14ac:dyDescent="0.25">
      <c r="B18" s="34" t="s">
        <v>119</v>
      </c>
      <c r="C18" s="43">
        <v>145.44999999999999</v>
      </c>
      <c r="D18" s="43">
        <v>127.69</v>
      </c>
      <c r="E18" s="43">
        <v>311.36</v>
      </c>
      <c r="F18" s="43">
        <v>422.4</v>
      </c>
      <c r="G18" s="43">
        <v>545.66999999999996</v>
      </c>
      <c r="H18" s="43">
        <v>363.95</v>
      </c>
      <c r="J18" s="36" t="s">
        <v>125</v>
      </c>
      <c r="K18" s="44">
        <v>27.35</v>
      </c>
      <c r="L18" s="43">
        <v>24.59</v>
      </c>
      <c r="M18" s="43">
        <v>22.95</v>
      </c>
      <c r="N18" s="43">
        <v>27.54</v>
      </c>
      <c r="O18" s="43">
        <v>26.83</v>
      </c>
      <c r="P18" s="43">
        <v>26.75</v>
      </c>
    </row>
    <row r="19" spans="2:16" x14ac:dyDescent="0.25">
      <c r="B19" s="34" t="s">
        <v>120</v>
      </c>
      <c r="C19" s="43">
        <v>395.71</v>
      </c>
      <c r="D19" s="43">
        <v>421.15</v>
      </c>
      <c r="E19" s="43">
        <v>455.53</v>
      </c>
      <c r="F19" s="43">
        <v>601.09</v>
      </c>
      <c r="G19" s="43">
        <v>681.25</v>
      </c>
      <c r="H19" s="43">
        <v>377.02</v>
      </c>
      <c r="J19" s="36" t="s">
        <v>24</v>
      </c>
      <c r="K19" s="43"/>
      <c r="L19" s="43"/>
      <c r="M19" s="43"/>
      <c r="N19" s="43"/>
      <c r="O19" s="43"/>
      <c r="P19" s="43"/>
    </row>
    <row r="20" spans="2:16" x14ac:dyDescent="0.25">
      <c r="B20" s="34" t="s">
        <v>121</v>
      </c>
      <c r="C20" s="43">
        <v>666.37</v>
      </c>
      <c r="D20" s="43">
        <v>708.79</v>
      </c>
      <c r="E20" s="43">
        <v>860.53</v>
      </c>
      <c r="F20" s="43">
        <v>1081.03</v>
      </c>
      <c r="G20" s="43">
        <v>1362.12</v>
      </c>
      <c r="H20" s="43">
        <v>891.42</v>
      </c>
      <c r="J20" s="36" t="s">
        <v>126</v>
      </c>
      <c r="K20" s="44">
        <v>0.26</v>
      </c>
      <c r="L20" s="43">
        <v>0.26</v>
      </c>
      <c r="M20" s="43">
        <v>1.27</v>
      </c>
      <c r="N20" s="43">
        <v>1.45</v>
      </c>
      <c r="O20" s="43">
        <v>1.69</v>
      </c>
      <c r="P20" s="43">
        <v>1.7</v>
      </c>
    </row>
    <row r="21" spans="2:16" x14ac:dyDescent="0.25">
      <c r="B21" s="53" t="s">
        <v>7</v>
      </c>
      <c r="C21" s="54">
        <f t="shared" ref="C21:F21" si="11">C14+C18-C19-C20</f>
        <v>836.60999999999797</v>
      </c>
      <c r="D21" s="54">
        <f t="shared" si="11"/>
        <v>1769.5900000000074</v>
      </c>
      <c r="E21" s="54">
        <f t="shared" si="11"/>
        <v>2161.5199999999941</v>
      </c>
      <c r="F21" s="54">
        <f t="shared" si="11"/>
        <v>2495.3799999999983</v>
      </c>
      <c r="G21" s="54">
        <f>G14+G18-G19-G20</f>
        <v>2178.6100000000051</v>
      </c>
      <c r="H21" s="67">
        <f>H14+H18-H19-H20</f>
        <v>1996.5200000000018</v>
      </c>
      <c r="J21" s="36" t="s">
        <v>155</v>
      </c>
      <c r="K21" s="43">
        <v>268.31</v>
      </c>
      <c r="L21" s="43">
        <v>166.52</v>
      </c>
      <c r="M21" s="43">
        <v>559.41999999999996</v>
      </c>
      <c r="N21" s="43">
        <v>303.89999999999998</v>
      </c>
      <c r="O21" s="43">
        <v>428.48</v>
      </c>
      <c r="P21" s="43">
        <v>547.46</v>
      </c>
    </row>
    <row r="22" spans="2:16" x14ac:dyDescent="0.25">
      <c r="B22" s="34" t="s">
        <v>8</v>
      </c>
      <c r="C22" s="43">
        <v>221.79</v>
      </c>
      <c r="D22" s="43">
        <v>478.57</v>
      </c>
      <c r="E22" s="43">
        <v>576.73</v>
      </c>
      <c r="F22" s="43">
        <f>728.02-42.68</f>
        <v>685.34</v>
      </c>
      <c r="G22" s="43">
        <f>621.28-35.76</f>
        <v>585.52</v>
      </c>
      <c r="H22" s="43">
        <v>462.15</v>
      </c>
      <c r="J22" s="36" t="s">
        <v>156</v>
      </c>
      <c r="K22" s="44">
        <v>127.05</v>
      </c>
      <c r="L22" s="43">
        <v>141.27000000000001</v>
      </c>
      <c r="M22" s="43">
        <v>179.4</v>
      </c>
      <c r="N22" s="43">
        <v>228.42</v>
      </c>
      <c r="O22" s="43">
        <v>265.48</v>
      </c>
      <c r="P22" s="43">
        <v>332.54</v>
      </c>
    </row>
    <row r="23" spans="2:16" x14ac:dyDescent="0.25">
      <c r="B23" s="50" t="s">
        <v>9</v>
      </c>
      <c r="C23" s="52">
        <f>C22/C21</f>
        <v>0.26510560476207617</v>
      </c>
      <c r="D23" s="52">
        <f t="shared" ref="D23:H23" si="12">D22/D21</f>
        <v>0.27044117563955378</v>
      </c>
      <c r="E23" s="52">
        <f t="shared" si="12"/>
        <v>0.26681686961027501</v>
      </c>
      <c r="F23" s="52">
        <f t="shared" si="12"/>
        <v>0.27464354126425655</v>
      </c>
      <c r="G23" s="52">
        <f>G22/G21</f>
        <v>0.26875852034095071</v>
      </c>
      <c r="H23" s="52">
        <f>H22/H21</f>
        <v>0.23147777132210023</v>
      </c>
      <c r="J23" s="36" t="s">
        <v>157</v>
      </c>
      <c r="K23" s="43">
        <v>185.18</v>
      </c>
      <c r="L23" s="43">
        <v>180.36</v>
      </c>
      <c r="M23" s="43">
        <v>184.87</v>
      </c>
      <c r="N23" s="43">
        <v>165.73</v>
      </c>
      <c r="O23" s="43">
        <v>152.69</v>
      </c>
      <c r="P23" s="43">
        <v>227.49</v>
      </c>
    </row>
    <row r="24" spans="2:16" x14ac:dyDescent="0.25">
      <c r="B24" s="53" t="s">
        <v>10</v>
      </c>
      <c r="C24" s="54">
        <f t="shared" ref="C24:F24" si="13">C21-C22</f>
        <v>614.819999999998</v>
      </c>
      <c r="D24" s="54">
        <f t="shared" si="13"/>
        <v>1291.0200000000075</v>
      </c>
      <c r="E24" s="54">
        <f t="shared" si="13"/>
        <v>1584.7899999999941</v>
      </c>
      <c r="F24" s="54">
        <f t="shared" si="13"/>
        <v>1810.0399999999981</v>
      </c>
      <c r="G24" s="54">
        <f>G21-G22</f>
        <v>1593.0900000000051</v>
      </c>
      <c r="H24" s="67">
        <f>H21-H22</f>
        <v>1534.3700000000017</v>
      </c>
      <c r="J24" s="36" t="s">
        <v>127</v>
      </c>
      <c r="K24" s="44">
        <v>188.06</v>
      </c>
      <c r="L24" s="43">
        <v>202.79</v>
      </c>
      <c r="M24" s="43">
        <v>190.9</v>
      </c>
      <c r="N24" s="43">
        <v>58.55</v>
      </c>
      <c r="O24" s="43">
        <v>57.26</v>
      </c>
      <c r="P24" s="43">
        <v>58.16</v>
      </c>
    </row>
    <row r="25" spans="2:16" x14ac:dyDescent="0.25">
      <c r="B25" s="55" t="s">
        <v>11</v>
      </c>
      <c r="C25" s="56">
        <f>C24/C5</f>
        <v>2.3110241059638419E-2</v>
      </c>
      <c r="D25" s="56">
        <f t="shared" ref="D25:H25" si="14">D24/D5</f>
        <v>3.6524784270878068E-2</v>
      </c>
      <c r="E25" s="56">
        <f t="shared" si="14"/>
        <v>3.8867622634401543E-2</v>
      </c>
      <c r="F25" s="56">
        <f t="shared" si="14"/>
        <v>3.4533238270453348E-2</v>
      </c>
      <c r="G25" s="56">
        <f>G24/G5</f>
        <v>2.517496640366932E-2</v>
      </c>
      <c r="H25" s="56">
        <f>H24/H5</f>
        <v>4.5633300826703423E-2</v>
      </c>
    </row>
    <row r="26" spans="2:16" x14ac:dyDescent="0.25">
      <c r="B26" s="50" t="s">
        <v>2</v>
      </c>
      <c r="C26" s="51" t="s">
        <v>152</v>
      </c>
      <c r="D26" s="51" t="s">
        <v>152</v>
      </c>
      <c r="E26" s="51" t="s">
        <v>152</v>
      </c>
      <c r="F26" s="52">
        <f t="shared" ref="F26" si="15">(F24/C24)^(1/3)-1</f>
        <v>0.43322176668846168</v>
      </c>
      <c r="G26" s="52">
        <f>(G24/D24)^(1/3)-1</f>
        <v>7.2595030368185931E-2</v>
      </c>
      <c r="H26" s="52"/>
      <c r="J26" s="58" t="s">
        <v>158</v>
      </c>
      <c r="K26" s="54">
        <f>SUM(K27:K34)</f>
        <v>12681.28</v>
      </c>
      <c r="L26" s="54">
        <f t="shared" ref="L26:P26" si="16">SUM(L27:L34)</f>
        <v>18013.72</v>
      </c>
      <c r="M26" s="54">
        <f t="shared" si="16"/>
        <v>25010.020000000004</v>
      </c>
      <c r="N26" s="54">
        <f t="shared" si="16"/>
        <v>32833.730000000003</v>
      </c>
      <c r="O26" s="54">
        <f t="shared" si="16"/>
        <v>42491.54</v>
      </c>
      <c r="P26" s="54">
        <f>SUM(P27:P34)</f>
        <v>53275.199999999997</v>
      </c>
    </row>
    <row r="27" spans="2:16" x14ac:dyDescent="0.25">
      <c r="B27" s="34" t="s">
        <v>12</v>
      </c>
      <c r="C27" s="43">
        <v>-7.01</v>
      </c>
      <c r="D27" s="43">
        <v>8.09</v>
      </c>
      <c r="E27" s="43">
        <v>-4.45</v>
      </c>
      <c r="F27" s="43">
        <v>-20.59</v>
      </c>
      <c r="G27" s="43">
        <v>17.88</v>
      </c>
      <c r="H27" s="43">
        <v>-11.1</v>
      </c>
      <c r="J27" s="36" t="s">
        <v>25</v>
      </c>
      <c r="K27" s="44">
        <v>10394.73</v>
      </c>
      <c r="L27" s="43">
        <v>13912.45</v>
      </c>
      <c r="M27" s="43">
        <v>18854.57</v>
      </c>
      <c r="N27" s="43">
        <v>24570.19</v>
      </c>
      <c r="O27" s="43">
        <v>32992.54</v>
      </c>
      <c r="P27" s="43">
        <v>43091.7</v>
      </c>
    </row>
    <row r="28" spans="2:16" x14ac:dyDescent="0.25">
      <c r="B28" s="53" t="s">
        <v>146</v>
      </c>
      <c r="C28" s="54">
        <f t="shared" ref="C28:H28" si="17">C24+C27</f>
        <v>607.80999999999801</v>
      </c>
      <c r="D28" s="54">
        <f t="shared" si="17"/>
        <v>1299.1100000000074</v>
      </c>
      <c r="E28" s="54">
        <f t="shared" si="17"/>
        <v>1580.339999999994</v>
      </c>
      <c r="F28" s="54">
        <f t="shared" si="17"/>
        <v>1789.4499999999982</v>
      </c>
      <c r="G28" s="54">
        <f>G24+G27</f>
        <v>1610.9700000000053</v>
      </c>
      <c r="H28" s="54">
        <f>H24+H27</f>
        <v>1523.2700000000018</v>
      </c>
      <c r="J28" s="36" t="s">
        <v>24</v>
      </c>
      <c r="K28" s="43"/>
      <c r="L28" s="43"/>
      <c r="M28" s="43"/>
      <c r="N28" s="43"/>
      <c r="O28" s="43"/>
      <c r="P28" s="43"/>
    </row>
    <row r="29" spans="2:16" x14ac:dyDescent="0.25">
      <c r="B29" s="50" t="s">
        <v>1</v>
      </c>
      <c r="C29" s="51" t="s">
        <v>152</v>
      </c>
      <c r="D29" s="52">
        <f t="shared" ref="D29:F29" si="18">D28/C28-1</f>
        <v>1.1373620045738169</v>
      </c>
      <c r="E29" s="52">
        <f t="shared" si="18"/>
        <v>0.21647897406684957</v>
      </c>
      <c r="F29" s="52">
        <f t="shared" si="18"/>
        <v>0.13231962742195025</v>
      </c>
      <c r="G29" s="52">
        <f>G28/F28-1</f>
        <v>-9.9740143619544086E-2</v>
      </c>
      <c r="H29" s="52"/>
      <c r="J29" s="36" t="s">
        <v>160</v>
      </c>
      <c r="K29" s="43">
        <v>275.58999999999997</v>
      </c>
      <c r="L29" s="43">
        <v>393.98</v>
      </c>
      <c r="M29" s="43">
        <v>454.22</v>
      </c>
      <c r="N29" s="43">
        <v>528.67999999999995</v>
      </c>
      <c r="O29" s="43">
        <v>810.4</v>
      </c>
      <c r="P29" s="43">
        <v>1755.51</v>
      </c>
    </row>
    <row r="30" spans="2:16" x14ac:dyDescent="0.25">
      <c r="B30" s="50" t="s">
        <v>2</v>
      </c>
      <c r="C30" s="51" t="s">
        <v>152</v>
      </c>
      <c r="D30" s="51" t="s">
        <v>152</v>
      </c>
      <c r="E30" s="51" t="s">
        <v>152</v>
      </c>
      <c r="F30" s="52">
        <f t="shared" ref="F30" si="19">((F28/C28)^(1/3)-1)</f>
        <v>0.43323446246138486</v>
      </c>
      <c r="G30" s="52">
        <f>((G28/D28)^(1/3)-1)</f>
        <v>7.4353432480664949E-2</v>
      </c>
      <c r="H30" s="52"/>
      <c r="J30" s="36" t="s">
        <v>142</v>
      </c>
      <c r="K30" s="43">
        <v>85.13</v>
      </c>
      <c r="L30" s="43">
        <v>95.44</v>
      </c>
      <c r="M30" s="43">
        <v>94.83</v>
      </c>
      <c r="N30" s="43">
        <v>185.16</v>
      </c>
      <c r="O30" s="43">
        <v>332.5</v>
      </c>
      <c r="P30" s="43">
        <v>273.45</v>
      </c>
    </row>
    <row r="31" spans="2:16" x14ac:dyDescent="0.25">
      <c r="B31" s="37" t="s">
        <v>13</v>
      </c>
      <c r="C31" s="34"/>
      <c r="D31" s="34"/>
      <c r="E31" s="34"/>
      <c r="F31" s="34"/>
      <c r="G31" s="34"/>
      <c r="H31" s="34"/>
      <c r="J31" s="36" t="s">
        <v>143</v>
      </c>
      <c r="K31" s="43">
        <v>1196.03</v>
      </c>
      <c r="L31" s="43">
        <v>2692.69</v>
      </c>
      <c r="M31" s="43">
        <v>4280.8999999999996</v>
      </c>
      <c r="N31" s="43">
        <v>5328.46</v>
      </c>
      <c r="O31" s="43">
        <v>5576.03</v>
      </c>
      <c r="P31" s="43">
        <v>5383.38</v>
      </c>
    </row>
    <row r="32" spans="2:16" x14ac:dyDescent="0.25">
      <c r="B32" s="34" t="s">
        <v>122</v>
      </c>
      <c r="C32" s="34">
        <v>9.25</v>
      </c>
      <c r="D32" s="34">
        <v>19.420000000000002</v>
      </c>
      <c r="E32" s="34">
        <v>22.93</v>
      </c>
      <c r="F32" s="34">
        <v>12.03</v>
      </c>
      <c r="G32" s="34">
        <v>10.09</v>
      </c>
      <c r="H32" s="34">
        <v>9.3699999999999992</v>
      </c>
      <c r="J32" s="36" t="s">
        <v>144</v>
      </c>
      <c r="K32" s="43"/>
      <c r="L32" s="43"/>
      <c r="M32" s="43"/>
      <c r="N32" s="43"/>
      <c r="O32" s="43"/>
      <c r="P32" s="43"/>
    </row>
    <row r="33" spans="2:16" x14ac:dyDescent="0.25">
      <c r="B33" s="34" t="s">
        <v>123</v>
      </c>
      <c r="C33" s="34">
        <v>9.25</v>
      </c>
      <c r="D33" s="34">
        <v>19.37</v>
      </c>
      <c r="E33" s="34">
        <v>22.87</v>
      </c>
      <c r="F33" s="34">
        <v>12.01</v>
      </c>
      <c r="G33" s="34">
        <v>10.08</v>
      </c>
      <c r="H33" s="34">
        <v>9.36</v>
      </c>
      <c r="J33" s="36" t="s">
        <v>165</v>
      </c>
      <c r="K33" s="43">
        <v>536.86</v>
      </c>
      <c r="L33" s="43">
        <v>588.66</v>
      </c>
      <c r="M33" s="43">
        <v>712.6</v>
      </c>
      <c r="N33" s="43">
        <v>1545.83</v>
      </c>
      <c r="O33" s="43">
        <v>1688.44</v>
      </c>
      <c r="P33" s="43">
        <v>1418.11</v>
      </c>
    </row>
    <row r="34" spans="2:16" x14ac:dyDescent="0.25">
      <c r="B34" s="50" t="s">
        <v>1</v>
      </c>
      <c r="C34" s="51" t="s">
        <v>152</v>
      </c>
      <c r="D34" s="52">
        <f t="shared" ref="D34:E34" si="20">D33/C33-1</f>
        <v>1.094054054054054</v>
      </c>
      <c r="E34" s="52">
        <f t="shared" si="20"/>
        <v>0.18069179143004654</v>
      </c>
      <c r="F34" s="52">
        <f>F33/E33-1</f>
        <v>-0.47485789243550502</v>
      </c>
      <c r="G34" s="52">
        <f>G33/F33-1</f>
        <v>-0.16069941715237301</v>
      </c>
      <c r="H34" s="52"/>
      <c r="J34" s="36" t="s">
        <v>26</v>
      </c>
      <c r="K34" s="43">
        <v>192.94</v>
      </c>
      <c r="L34" s="43">
        <v>330.5</v>
      </c>
      <c r="M34" s="43">
        <v>612.9</v>
      </c>
      <c r="N34" s="43">
        <v>675.41</v>
      </c>
      <c r="O34" s="43">
        <v>1091.6300000000001</v>
      </c>
      <c r="P34" s="43">
        <v>1353.05</v>
      </c>
    </row>
    <row r="35" spans="2:16" x14ac:dyDescent="0.25">
      <c r="B35" s="50" t="s">
        <v>2</v>
      </c>
      <c r="C35" s="51" t="s">
        <v>152</v>
      </c>
      <c r="D35" s="51" t="s">
        <v>152</v>
      </c>
      <c r="E35" s="51" t="s">
        <v>152</v>
      </c>
      <c r="F35" s="52">
        <f>((F33/C33)^(1/3)-1)</f>
        <v>9.093889262475563E-2</v>
      </c>
      <c r="G35" s="52">
        <f>((G33/D33)^(1/3)-1)</f>
        <v>-0.19565264666594517</v>
      </c>
      <c r="H35" s="52"/>
      <c r="K35" s="57"/>
      <c r="L35" s="57"/>
      <c r="M35" s="57"/>
      <c r="N35" s="57"/>
      <c r="O35" s="57"/>
      <c r="P35" s="57"/>
    </row>
    <row r="36" spans="2:16" x14ac:dyDescent="0.25">
      <c r="J36" s="58" t="s">
        <v>27</v>
      </c>
      <c r="K36" s="54">
        <f t="shared" ref="K36:P36" si="21">SUM(K38:K45)</f>
        <v>8218.58</v>
      </c>
      <c r="L36" s="54">
        <f t="shared" si="21"/>
        <v>12277.97</v>
      </c>
      <c r="M36" s="54">
        <f t="shared" si="21"/>
        <v>17442.010000000002</v>
      </c>
      <c r="N36" s="54">
        <f t="shared" si="21"/>
        <v>21115.48</v>
      </c>
      <c r="O36" s="54">
        <f t="shared" si="21"/>
        <v>25109.599999999999</v>
      </c>
      <c r="P36" s="54">
        <f>SUM(P38:P45)</f>
        <v>34923.899999999994</v>
      </c>
    </row>
    <row r="37" spans="2:16" x14ac:dyDescent="0.25">
      <c r="B37" s="60" t="s">
        <v>135</v>
      </c>
      <c r="C37" s="49" t="s">
        <v>14</v>
      </c>
      <c r="D37" s="49" t="s">
        <v>65</v>
      </c>
      <c r="E37" s="49" t="s">
        <v>115</v>
      </c>
      <c r="F37" s="49" t="s">
        <v>117</v>
      </c>
      <c r="G37" s="49" t="s">
        <v>118</v>
      </c>
      <c r="H37" s="49" t="s">
        <v>166</v>
      </c>
      <c r="J37" s="36" t="s">
        <v>130</v>
      </c>
      <c r="K37" s="43"/>
      <c r="L37" s="43"/>
      <c r="M37" s="43"/>
      <c r="N37" s="43"/>
      <c r="O37" s="43"/>
      <c r="P37" s="43"/>
    </row>
    <row r="38" spans="2:16" x14ac:dyDescent="0.25">
      <c r="B38" s="37" t="s">
        <v>49</v>
      </c>
      <c r="C38" s="47">
        <v>36.25</v>
      </c>
      <c r="D38" s="47">
        <v>85.13</v>
      </c>
      <c r="E38" s="47">
        <v>95.44</v>
      </c>
      <c r="F38" s="47">
        <v>94.83</v>
      </c>
      <c r="G38" s="47">
        <v>185.16</v>
      </c>
      <c r="H38" s="47">
        <f>G43</f>
        <v>332.50000000000011</v>
      </c>
      <c r="J38" s="36" t="s">
        <v>128</v>
      </c>
      <c r="K38" s="43">
        <v>5320.38</v>
      </c>
      <c r="L38" s="43">
        <v>8625.7199999999993</v>
      </c>
      <c r="M38" s="43">
        <v>11778.44</v>
      </c>
      <c r="N38" s="43">
        <v>5890.69</v>
      </c>
      <c r="O38" s="43">
        <v>5861.24</v>
      </c>
      <c r="P38" s="43">
        <v>10434.08</v>
      </c>
    </row>
    <row r="39" spans="2:16" x14ac:dyDescent="0.25">
      <c r="B39" s="34" t="s">
        <v>50</v>
      </c>
      <c r="C39" s="43">
        <v>1809.15</v>
      </c>
      <c r="D39" s="43">
        <v>-698.86</v>
      </c>
      <c r="E39" s="43">
        <v>-781.99</v>
      </c>
      <c r="F39" s="43">
        <v>-232.24</v>
      </c>
      <c r="G39" s="43">
        <v>-2212.04</v>
      </c>
      <c r="H39" s="43">
        <v>-3339.13</v>
      </c>
      <c r="J39" s="36" t="s">
        <v>161</v>
      </c>
      <c r="K39" s="65" t="s">
        <v>64</v>
      </c>
      <c r="L39" s="65" t="s">
        <v>64</v>
      </c>
      <c r="M39" s="65" t="s">
        <v>64</v>
      </c>
      <c r="N39" s="43">
        <v>9082.16</v>
      </c>
      <c r="O39" s="43">
        <v>11817.67</v>
      </c>
      <c r="P39" s="43">
        <v>10998</v>
      </c>
    </row>
    <row r="40" spans="2:16" x14ac:dyDescent="0.25">
      <c r="B40" s="34" t="s">
        <v>51</v>
      </c>
      <c r="C40" s="43">
        <v>-536.55999999999995</v>
      </c>
      <c r="D40" s="43">
        <v>-1570.94</v>
      </c>
      <c r="E40" s="43">
        <v>-1980.3</v>
      </c>
      <c r="F40" s="43">
        <v>-1184.76</v>
      </c>
      <c r="G40" s="43">
        <v>-322.23</v>
      </c>
      <c r="H40" s="43">
        <v>-66.02</v>
      </c>
      <c r="J40" s="36" t="s">
        <v>132</v>
      </c>
      <c r="K40" s="43">
        <v>146.03</v>
      </c>
      <c r="L40" s="43">
        <v>178.61</v>
      </c>
      <c r="M40" s="43">
        <v>213.51</v>
      </c>
      <c r="N40" s="43">
        <v>273.44</v>
      </c>
      <c r="O40" s="43">
        <v>355.5</v>
      </c>
      <c r="P40" s="43">
        <v>432.07</v>
      </c>
    </row>
    <row r="41" spans="2:16" x14ac:dyDescent="0.25">
      <c r="B41" s="34" t="s">
        <v>52</v>
      </c>
      <c r="C41" s="43">
        <v>-1223.71</v>
      </c>
      <c r="D41" s="43">
        <v>2280.11</v>
      </c>
      <c r="E41" s="43">
        <v>2761.68</v>
      </c>
      <c r="F41" s="43">
        <v>1507.33</v>
      </c>
      <c r="G41" s="43">
        <v>2681.61</v>
      </c>
      <c r="H41" s="43">
        <v>3346.1</v>
      </c>
      <c r="J41" s="36" t="s">
        <v>140</v>
      </c>
      <c r="K41" s="43">
        <f>95.24+514.11</f>
        <v>609.35</v>
      </c>
      <c r="L41" s="43">
        <f>124.59+1049.64</f>
        <v>1174.23</v>
      </c>
      <c r="M41" s="43">
        <f>197.54+1419.38</f>
        <v>1616.92</v>
      </c>
      <c r="N41" s="43">
        <f>183.27+1885.54</f>
        <v>2068.81</v>
      </c>
      <c r="O41" s="43">
        <f>81.76+1434.73</f>
        <v>1516.49</v>
      </c>
      <c r="P41" s="43">
        <f>1600.4+4060.99</f>
        <v>5661.3899999999994</v>
      </c>
    </row>
    <row r="42" spans="2:16" x14ac:dyDescent="0.25">
      <c r="B42" s="42" t="s">
        <v>53</v>
      </c>
      <c r="C42" s="47">
        <f>+C41+C40+C39</f>
        <v>48.880000000000109</v>
      </c>
      <c r="D42" s="47">
        <f t="shared" ref="D42:G42" si="22">+D41+D40+D39</f>
        <v>10.310000000000059</v>
      </c>
      <c r="E42" s="47">
        <f t="shared" si="22"/>
        <v>-0.61000000000012733</v>
      </c>
      <c r="F42" s="47">
        <f t="shared" si="22"/>
        <v>90.329999999999927</v>
      </c>
      <c r="G42" s="47">
        <f t="shared" si="22"/>
        <v>147.34000000000015</v>
      </c>
      <c r="H42" s="47">
        <f>+H41+H40+H39</f>
        <v>-59.050000000000182</v>
      </c>
      <c r="J42" s="36" t="s">
        <v>145</v>
      </c>
      <c r="K42" s="43">
        <v>256.63</v>
      </c>
      <c r="L42" s="43">
        <v>335.69</v>
      </c>
      <c r="M42" s="43">
        <v>509.02</v>
      </c>
      <c r="N42" s="43">
        <v>687.16</v>
      </c>
      <c r="O42" s="43">
        <v>864.45</v>
      </c>
      <c r="P42" s="43">
        <v>977.71</v>
      </c>
    </row>
    <row r="43" spans="2:16" x14ac:dyDescent="0.25">
      <c r="B43" s="53" t="s">
        <v>54</v>
      </c>
      <c r="C43" s="54">
        <f>+C42+C38</f>
        <v>85.130000000000109</v>
      </c>
      <c r="D43" s="54">
        <f t="shared" ref="D43:G43" si="23">+D42+D38</f>
        <v>95.440000000000055</v>
      </c>
      <c r="E43" s="54">
        <f t="shared" si="23"/>
        <v>94.82999999999987</v>
      </c>
      <c r="F43" s="54">
        <f t="shared" si="23"/>
        <v>185.15999999999991</v>
      </c>
      <c r="G43" s="54">
        <f t="shared" si="23"/>
        <v>332.50000000000011</v>
      </c>
      <c r="H43" s="54">
        <f>+H42+H38</f>
        <v>273.44999999999993</v>
      </c>
      <c r="J43" s="36" t="s">
        <v>129</v>
      </c>
      <c r="K43" s="43">
        <v>1832.2</v>
      </c>
      <c r="L43" s="43">
        <v>1812.25</v>
      </c>
      <c r="M43" s="43">
        <v>3148.87</v>
      </c>
      <c r="N43" s="43">
        <v>2920.72</v>
      </c>
      <c r="O43" s="43">
        <v>4627.62</v>
      </c>
      <c r="P43" s="43">
        <v>6098.56</v>
      </c>
    </row>
    <row r="44" spans="2:16" x14ac:dyDescent="0.25">
      <c r="J44" s="36" t="s">
        <v>63</v>
      </c>
      <c r="K44" s="43">
        <v>22.84</v>
      </c>
      <c r="L44" s="43">
        <v>12.96</v>
      </c>
      <c r="M44" s="43">
        <v>20.2</v>
      </c>
      <c r="N44" s="43">
        <v>37.81</v>
      </c>
      <c r="O44" s="43">
        <v>49.26</v>
      </c>
      <c r="P44" s="43">
        <v>55.63</v>
      </c>
    </row>
    <row r="45" spans="2:16" x14ac:dyDescent="0.25">
      <c r="B45" s="60" t="s">
        <v>134</v>
      </c>
      <c r="C45" s="49" t="s">
        <v>14</v>
      </c>
      <c r="D45" s="49" t="s">
        <v>65</v>
      </c>
      <c r="E45" s="49" t="s">
        <v>115</v>
      </c>
      <c r="F45" s="49" t="s">
        <v>117</v>
      </c>
      <c r="G45" s="49" t="s">
        <v>118</v>
      </c>
      <c r="H45" s="49" t="s">
        <v>166</v>
      </c>
      <c r="J45" s="36" t="s">
        <v>141</v>
      </c>
      <c r="K45" s="43">
        <v>31.15</v>
      </c>
      <c r="L45" s="43">
        <v>138.51</v>
      </c>
      <c r="M45" s="43">
        <v>155.05000000000001</v>
      </c>
      <c r="N45" s="43">
        <v>154.69</v>
      </c>
      <c r="O45" s="43">
        <v>17.37</v>
      </c>
      <c r="P45" s="43">
        <v>266.45999999999998</v>
      </c>
    </row>
    <row r="46" spans="2:16" x14ac:dyDescent="0.25">
      <c r="B46" s="35" t="s">
        <v>55</v>
      </c>
      <c r="C46" s="45">
        <f>C39</f>
        <v>1809.15</v>
      </c>
      <c r="D46" s="45">
        <f t="shared" ref="D46:H46" si="24">D39</f>
        <v>-698.86</v>
      </c>
      <c r="E46" s="45">
        <f t="shared" si="24"/>
        <v>-781.99</v>
      </c>
      <c r="F46" s="45">
        <f t="shared" si="24"/>
        <v>-232.24</v>
      </c>
      <c r="G46" s="45">
        <f t="shared" si="24"/>
        <v>-2212.04</v>
      </c>
      <c r="H46" s="45">
        <f>H39</f>
        <v>-3339.13</v>
      </c>
      <c r="J46" s="58" t="s">
        <v>28</v>
      </c>
      <c r="K46" s="54">
        <f>K26-K36</f>
        <v>4462.7000000000007</v>
      </c>
      <c r="L46" s="54">
        <f>L26-L36</f>
        <v>5735.7500000000018</v>
      </c>
      <c r="M46" s="54">
        <f t="shared" ref="M46:P46" si="25">M26-M36</f>
        <v>7568.010000000002</v>
      </c>
      <c r="N46" s="54">
        <f t="shared" si="25"/>
        <v>11718.250000000004</v>
      </c>
      <c r="O46" s="54">
        <f t="shared" si="25"/>
        <v>17381.940000000002</v>
      </c>
      <c r="P46" s="54">
        <f>P26-P36</f>
        <v>18351.300000000003</v>
      </c>
    </row>
    <row r="47" spans="2:16" x14ac:dyDescent="0.25">
      <c r="B47" s="35" t="s">
        <v>56</v>
      </c>
      <c r="C47" s="34">
        <f>-141.33+1.07</f>
        <v>-140.26000000000002</v>
      </c>
      <c r="D47" s="34">
        <v>-246.91</v>
      </c>
      <c r="E47" s="34">
        <v>-311.08999999999997</v>
      </c>
      <c r="F47" s="34">
        <v>-382.33</v>
      </c>
      <c r="G47" s="34">
        <f>-378.5+10.35</f>
        <v>-368.15</v>
      </c>
      <c r="H47" s="38">
        <f>-347.52+18.76</f>
        <v>-328.76</v>
      </c>
      <c r="K47" s="57"/>
      <c r="L47" s="57"/>
      <c r="M47" s="57"/>
      <c r="N47" s="57"/>
      <c r="O47" s="57"/>
      <c r="P47" s="57"/>
    </row>
    <row r="48" spans="2:16" x14ac:dyDescent="0.25">
      <c r="B48" s="61" t="s">
        <v>133</v>
      </c>
      <c r="C48" s="66">
        <f t="shared" ref="C48:F48" si="26">C46+C47</f>
        <v>1668.89</v>
      </c>
      <c r="D48" s="66">
        <f t="shared" si="26"/>
        <v>-945.77</v>
      </c>
      <c r="E48" s="66">
        <f t="shared" si="26"/>
        <v>-1093.08</v>
      </c>
      <c r="F48" s="66">
        <f t="shared" si="26"/>
        <v>-614.56999999999994</v>
      </c>
      <c r="G48" s="66">
        <f>G46+G47</f>
        <v>-2580.19</v>
      </c>
      <c r="H48" s="66">
        <f>H46+H47</f>
        <v>-3667.8900000000003</v>
      </c>
      <c r="J48" s="58" t="s">
        <v>114</v>
      </c>
      <c r="K48" s="54">
        <f t="shared" ref="K48:N48" si="27">SUM(K50:K54)</f>
        <v>1348.1899999999998</v>
      </c>
      <c r="L48" s="54">
        <f t="shared" si="27"/>
        <v>1464.21</v>
      </c>
      <c r="M48" s="54">
        <f t="shared" si="27"/>
        <v>2155.98</v>
      </c>
      <c r="N48" s="54">
        <f t="shared" si="27"/>
        <v>2455.6799999999998</v>
      </c>
      <c r="O48" s="54">
        <f>SUM(O50:O54)</f>
        <v>2650.99</v>
      </c>
      <c r="P48" s="54">
        <f>SUM(P50:P54)</f>
        <v>2810.61</v>
      </c>
    </row>
    <row r="49" spans="2:18" x14ac:dyDescent="0.25">
      <c r="J49" s="36" t="s">
        <v>130</v>
      </c>
      <c r="K49" s="43"/>
      <c r="L49" s="43"/>
      <c r="M49" s="43"/>
      <c r="N49" s="43"/>
      <c r="O49" s="43"/>
      <c r="P49" s="43"/>
    </row>
    <row r="50" spans="2:18" x14ac:dyDescent="0.25">
      <c r="B50" s="60" t="s">
        <v>137</v>
      </c>
      <c r="C50" s="49" t="s">
        <v>14</v>
      </c>
      <c r="D50" s="49" t="s">
        <v>65</v>
      </c>
      <c r="E50" s="49" t="s">
        <v>115</v>
      </c>
      <c r="F50" s="49" t="s">
        <v>117</v>
      </c>
      <c r="G50" s="49" t="s">
        <v>118</v>
      </c>
      <c r="H50" s="49" t="s">
        <v>166</v>
      </c>
      <c r="J50" s="36" t="s">
        <v>131</v>
      </c>
      <c r="K50" s="43">
        <v>4.0599999999999996</v>
      </c>
      <c r="L50" s="43">
        <v>3.95</v>
      </c>
      <c r="M50" s="43">
        <v>14.26</v>
      </c>
      <c r="N50" s="43">
        <v>10.54</v>
      </c>
      <c r="O50" s="43">
        <v>11.23</v>
      </c>
      <c r="P50" s="43">
        <v>8.84</v>
      </c>
    </row>
    <row r="51" spans="2:18" x14ac:dyDescent="0.25">
      <c r="B51" s="34" t="s">
        <v>58</v>
      </c>
      <c r="C51" s="65" t="s">
        <v>64</v>
      </c>
      <c r="D51" s="65" t="s">
        <v>64</v>
      </c>
      <c r="E51" s="65" t="s">
        <v>64</v>
      </c>
      <c r="F51" s="64">
        <v>77704173</v>
      </c>
      <c r="G51" s="64">
        <v>163681032</v>
      </c>
      <c r="H51" s="64">
        <f>163718332</f>
        <v>163718332</v>
      </c>
      <c r="J51" s="36" t="s">
        <v>132</v>
      </c>
      <c r="K51" s="43">
        <v>1327.63</v>
      </c>
      <c r="L51" s="43">
        <v>1451.03</v>
      </c>
      <c r="M51" s="43">
        <v>1884.02</v>
      </c>
      <c r="N51" s="43">
        <v>2354.62</v>
      </c>
      <c r="O51" s="43">
        <v>2548.54</v>
      </c>
      <c r="P51" s="43">
        <v>2702.35</v>
      </c>
    </row>
    <row r="52" spans="2:18" x14ac:dyDescent="0.25">
      <c r="B52" s="38" t="s">
        <v>116</v>
      </c>
      <c r="C52" s="65" t="s">
        <v>64</v>
      </c>
      <c r="D52" s="65" t="s">
        <v>64</v>
      </c>
      <c r="E52" s="65" t="s">
        <v>64</v>
      </c>
      <c r="F52" s="63">
        <f>(F51*N59)/1000000</f>
        <v>59937.113843550003</v>
      </c>
      <c r="G52" s="63">
        <f>(G51*O59)/1000000</f>
        <v>44513.056652400002</v>
      </c>
      <c r="H52" s="63">
        <f>(H51*P59)/1000000</f>
        <v>56229.061125400003</v>
      </c>
      <c r="J52" s="36" t="s">
        <v>162</v>
      </c>
      <c r="K52" s="43">
        <v>8.1199999999999992</v>
      </c>
      <c r="L52" s="43">
        <v>8.3800000000000008</v>
      </c>
      <c r="M52" s="43">
        <v>6.19</v>
      </c>
      <c r="N52" s="43">
        <v>43.54</v>
      </c>
      <c r="O52" s="43">
        <v>50.9</v>
      </c>
      <c r="P52" s="43">
        <v>53.6</v>
      </c>
    </row>
    <row r="53" spans="2:18" x14ac:dyDescent="0.25">
      <c r="B53" s="34" t="s">
        <v>60</v>
      </c>
      <c r="C53" s="63">
        <f>K10</f>
        <v>5324.4400000000005</v>
      </c>
      <c r="D53" s="63">
        <f t="shared" ref="D53:H53" si="28">L10</f>
        <v>8629.67</v>
      </c>
      <c r="E53" s="63">
        <f t="shared" si="28"/>
        <v>11792.7</v>
      </c>
      <c r="F53" s="63">
        <f t="shared" si="28"/>
        <v>5901.23</v>
      </c>
      <c r="G53" s="63">
        <f t="shared" si="28"/>
        <v>5872.4699999999993</v>
      </c>
      <c r="H53" s="63">
        <f>P10</f>
        <v>10442.92</v>
      </c>
      <c r="J53" s="36" t="s">
        <v>63</v>
      </c>
      <c r="K53" s="43">
        <v>8.26</v>
      </c>
      <c r="L53" s="43">
        <v>0.73</v>
      </c>
      <c r="M53" s="43">
        <v>6.32</v>
      </c>
      <c r="N53" s="43">
        <v>28.05</v>
      </c>
      <c r="O53" s="43">
        <v>29.72</v>
      </c>
      <c r="P53" s="43">
        <v>36.46</v>
      </c>
    </row>
    <row r="54" spans="2:18" x14ac:dyDescent="0.25">
      <c r="B54" s="34" t="s">
        <v>61</v>
      </c>
      <c r="C54" s="63">
        <f>SUM(K30:K31)</f>
        <v>1281.1599999999999</v>
      </c>
      <c r="D54" s="63">
        <f t="shared" ref="D54:G54" si="29">SUM(L30:L31)</f>
        <v>2788.13</v>
      </c>
      <c r="E54" s="63">
        <f t="shared" si="29"/>
        <v>4375.7299999999996</v>
      </c>
      <c r="F54" s="63">
        <f t="shared" si="29"/>
        <v>5513.62</v>
      </c>
      <c r="G54" s="63">
        <f t="shared" si="29"/>
        <v>5908.53</v>
      </c>
      <c r="H54" s="63">
        <f>SUM(P30:P31)</f>
        <v>5656.83</v>
      </c>
      <c r="J54" s="36" t="s">
        <v>163</v>
      </c>
      <c r="K54" s="43">
        <v>0.12</v>
      </c>
      <c r="L54" s="43">
        <v>0.12</v>
      </c>
      <c r="M54" s="43">
        <v>245.19</v>
      </c>
      <c r="N54" s="43">
        <v>18.93</v>
      </c>
      <c r="O54" s="43">
        <v>10.6</v>
      </c>
      <c r="P54" s="43">
        <v>9.36</v>
      </c>
    </row>
    <row r="55" spans="2:18" x14ac:dyDescent="0.25">
      <c r="B55" s="38" t="s">
        <v>62</v>
      </c>
      <c r="C55" s="65" t="s">
        <v>64</v>
      </c>
      <c r="D55" s="65" t="s">
        <v>64</v>
      </c>
      <c r="E55" s="65" t="s">
        <v>64</v>
      </c>
      <c r="F55" s="63">
        <f>F52+F53-F54</f>
        <v>60324.723843549997</v>
      </c>
      <c r="G55" s="63">
        <f t="shared" ref="G55:H55" si="30">G52+G53-G54</f>
        <v>44476.996652400005</v>
      </c>
      <c r="H55" s="63">
        <f>H52+H53-H54</f>
        <v>61015.151125400007</v>
      </c>
      <c r="J55" s="58" t="s">
        <v>29</v>
      </c>
      <c r="K55" s="54">
        <f>K26+K14</f>
        <v>15592.970000000001</v>
      </c>
      <c r="L55" s="54">
        <f t="shared" ref="L55:O55" si="31">L26+L14</f>
        <v>21001.850000000002</v>
      </c>
      <c r="M55" s="54">
        <f t="shared" si="31"/>
        <v>29053.190000000002</v>
      </c>
      <c r="N55" s="54">
        <f t="shared" si="31"/>
        <v>37226.58</v>
      </c>
      <c r="O55" s="54">
        <f t="shared" si="31"/>
        <v>47463.51</v>
      </c>
      <c r="P55" s="54">
        <f>P26+P14</f>
        <v>58805.259999999995</v>
      </c>
    </row>
    <row r="56" spans="2:18" x14ac:dyDescent="0.25">
      <c r="J56" s="58" t="s">
        <v>164</v>
      </c>
      <c r="K56" s="54">
        <f>K48+K36+K7</f>
        <v>15592.970000000001</v>
      </c>
      <c r="L56" s="54">
        <f t="shared" ref="L56:O56" si="32">L48+L36+L7</f>
        <v>21001.85</v>
      </c>
      <c r="M56" s="54">
        <f t="shared" si="32"/>
        <v>29053.190000000002</v>
      </c>
      <c r="N56" s="54">
        <f t="shared" si="32"/>
        <v>37226.58</v>
      </c>
      <c r="O56" s="54">
        <f t="shared" si="32"/>
        <v>47463.509999999995</v>
      </c>
      <c r="P56" s="54">
        <f>P48+P36+P7</f>
        <v>58805.259999999995</v>
      </c>
      <c r="R56" s="68"/>
    </row>
    <row r="58" spans="2:18" x14ac:dyDescent="0.25">
      <c r="J58" s="60" t="s">
        <v>136</v>
      </c>
      <c r="K58" s="49" t="s">
        <v>14</v>
      </c>
      <c r="L58" s="49" t="s">
        <v>65</v>
      </c>
      <c r="M58" s="49" t="s">
        <v>115</v>
      </c>
      <c r="N58" s="49" t="s">
        <v>117</v>
      </c>
      <c r="O58" s="49" t="s">
        <v>118</v>
      </c>
      <c r="P58" s="49" t="s">
        <v>166</v>
      </c>
    </row>
    <row r="59" spans="2:18" x14ac:dyDescent="0.25">
      <c r="J59" s="39" t="s">
        <v>30</v>
      </c>
      <c r="K59" s="65" t="s">
        <v>64</v>
      </c>
      <c r="L59" s="65" t="s">
        <v>64</v>
      </c>
      <c r="M59" s="65" t="s">
        <v>64</v>
      </c>
      <c r="N59" s="43">
        <v>771.35</v>
      </c>
      <c r="O59" s="43">
        <v>271.95</v>
      </c>
      <c r="P59" s="43">
        <v>343.45</v>
      </c>
    </row>
    <row r="60" spans="2:18" x14ac:dyDescent="0.25">
      <c r="J60" s="39" t="s">
        <v>31</v>
      </c>
      <c r="K60" s="43">
        <f t="shared" ref="K60:P60" si="33">C33</f>
        <v>9.25</v>
      </c>
      <c r="L60" s="43">
        <f t="shared" si="33"/>
        <v>19.37</v>
      </c>
      <c r="M60" s="43">
        <f t="shared" si="33"/>
        <v>22.87</v>
      </c>
      <c r="N60" s="43">
        <f t="shared" si="33"/>
        <v>12.01</v>
      </c>
      <c r="O60" s="43">
        <f t="shared" si="33"/>
        <v>10.08</v>
      </c>
      <c r="P60" s="43">
        <f>H33+G33-4.07</f>
        <v>15.369999999999997</v>
      </c>
    </row>
    <row r="61" spans="2:18" x14ac:dyDescent="0.25">
      <c r="J61" s="39" t="s">
        <v>32</v>
      </c>
      <c r="K61" s="65" t="s">
        <v>64</v>
      </c>
      <c r="L61" s="65" t="s">
        <v>64</v>
      </c>
      <c r="M61" s="65" t="s">
        <v>64</v>
      </c>
      <c r="N61" s="43">
        <f>N7*1000000/F51</f>
        <v>175.7359929691292</v>
      </c>
      <c r="O61" s="43">
        <f>O7*1000000/G51</f>
        <v>120.37387447557148</v>
      </c>
      <c r="P61" s="43">
        <f>P7*1000000/H51</f>
        <v>128.70122571246327</v>
      </c>
    </row>
    <row r="62" spans="2:18" x14ac:dyDescent="0.25">
      <c r="J62" s="39" t="s">
        <v>33</v>
      </c>
      <c r="K62" s="34">
        <v>1.5</v>
      </c>
      <c r="L62" s="34">
        <v>1.5</v>
      </c>
      <c r="M62" s="34">
        <v>1.5</v>
      </c>
      <c r="N62" s="43">
        <v>2</v>
      </c>
      <c r="O62" s="43">
        <v>1</v>
      </c>
      <c r="P62" s="69">
        <v>0</v>
      </c>
    </row>
    <row r="63" spans="2:18" x14ac:dyDescent="0.25">
      <c r="J63" s="39" t="s">
        <v>34</v>
      </c>
      <c r="K63" s="65" t="s">
        <v>64</v>
      </c>
      <c r="L63" s="65" t="s">
        <v>64</v>
      </c>
      <c r="M63" s="65" t="s">
        <v>64</v>
      </c>
      <c r="N63" s="43">
        <f>N59/N60</f>
        <v>64.225645295587015</v>
      </c>
      <c r="O63" s="43">
        <f>O59/O60</f>
        <v>26.979166666666664</v>
      </c>
      <c r="P63" s="43">
        <f>P59/P60</f>
        <v>22.345478204294082</v>
      </c>
    </row>
    <row r="64" spans="2:18" x14ac:dyDescent="0.25">
      <c r="J64" s="39" t="s">
        <v>35</v>
      </c>
      <c r="K64" s="65" t="s">
        <v>64</v>
      </c>
      <c r="L64" s="65" t="s">
        <v>64</v>
      </c>
      <c r="M64" s="65" t="s">
        <v>64</v>
      </c>
      <c r="N64" s="43">
        <f>N59/N61</f>
        <v>4.3892545116554453</v>
      </c>
      <c r="O64" s="43">
        <f>O59/O61</f>
        <v>2.2592111551181246</v>
      </c>
      <c r="P64" s="43">
        <f>P59/P61</f>
        <v>2.6685837535635897</v>
      </c>
    </row>
    <row r="65" spans="10:17" x14ac:dyDescent="0.25">
      <c r="J65" s="39" t="s">
        <v>36</v>
      </c>
      <c r="K65" s="65" t="s">
        <v>64</v>
      </c>
      <c r="L65" s="65" t="s">
        <v>64</v>
      </c>
      <c r="M65" s="65" t="s">
        <v>64</v>
      </c>
      <c r="N65" s="43">
        <f>F55/F14</f>
        <v>16.064744971785043</v>
      </c>
      <c r="O65" s="43">
        <f>G55/G14</f>
        <v>12.098271541953737</v>
      </c>
      <c r="P65" s="76" t="s">
        <v>167</v>
      </c>
    </row>
    <row r="66" spans="10:17" x14ac:dyDescent="0.25">
      <c r="J66" s="40" t="s">
        <v>37</v>
      </c>
      <c r="K66" s="46">
        <f>C24/K7</f>
        <v>0.10202449304702765</v>
      </c>
      <c r="L66" s="46">
        <f>D24/AVERAGE(K7:L7)</f>
        <v>0.1943448189693272</v>
      </c>
      <c r="M66" s="46">
        <f>E24/AVERAGE(L7:M7)</f>
        <v>0.18962636263398927</v>
      </c>
      <c r="N66" s="46">
        <f>F24/AVERAGE(M7:N7)</f>
        <v>0.15664140555294478</v>
      </c>
      <c r="O66" s="46">
        <f>G24/AVERAGE(N7:O7)</f>
        <v>9.5513745588060153E-2</v>
      </c>
      <c r="P66" s="76" t="s">
        <v>167</v>
      </c>
    </row>
    <row r="67" spans="10:17" x14ac:dyDescent="0.25">
      <c r="J67" s="40" t="s">
        <v>38</v>
      </c>
      <c r="K67" s="46">
        <f>(C21+C20)/K12</f>
        <v>0.20381075587268882</v>
      </c>
      <c r="L67" s="46">
        <f>(D21+D20)/AVERAGE(K12:L12)</f>
        <v>0.30790637751758504</v>
      </c>
      <c r="M67" s="46">
        <f>(E21+E20)/AVERAGE(L12:M12)</f>
        <v>0.29722557986059478</v>
      </c>
      <c r="N67" s="46">
        <f>(F21+F20)/AVERAGE(M12:N12)</f>
        <v>0.25801701735932236</v>
      </c>
      <c r="O67" s="46">
        <f>(G21+G20)/AVERAGE(N12:O12)</f>
        <v>0.18410134301277989</v>
      </c>
      <c r="P67" s="76" t="s">
        <v>167</v>
      </c>
    </row>
    <row r="68" spans="10:17" x14ac:dyDescent="0.25">
      <c r="J68" s="39" t="s">
        <v>39</v>
      </c>
      <c r="K68" s="77">
        <f>K10/K7</f>
        <v>0.88354850486210224</v>
      </c>
      <c r="L68" s="77">
        <f>L10/L7</f>
        <v>1.1887138120603278</v>
      </c>
      <c r="M68" s="77">
        <f t="shared" ref="M68:P68" si="34">M10/M7</f>
        <v>1.2472184617987987</v>
      </c>
      <c r="N68" s="77">
        <f t="shared" si="34"/>
        <v>0.43215294732787424</v>
      </c>
      <c r="O68" s="77">
        <f t="shared" si="34"/>
        <v>0.29805074577778312</v>
      </c>
      <c r="P68" s="77">
        <f>P10/P7</f>
        <v>0.49561216378154549</v>
      </c>
      <c r="Q68" s="78"/>
    </row>
    <row r="69" spans="10:17" x14ac:dyDescent="0.25">
      <c r="J69" s="39" t="s">
        <v>40</v>
      </c>
      <c r="K69" s="77">
        <f t="shared" ref="K69:P69" si="35">(K10-C54)/K7</f>
        <v>0.67095018419567898</v>
      </c>
      <c r="L69" s="77">
        <f t="shared" si="35"/>
        <v>0.80465641000210752</v>
      </c>
      <c r="M69" s="77">
        <f t="shared" si="35"/>
        <v>0.78443290464506321</v>
      </c>
      <c r="N69" s="77">
        <f t="shared" si="35"/>
        <v>2.8385066149558175E-2</v>
      </c>
      <c r="O69" s="77">
        <f t="shared" si="35"/>
        <v>-1.8301855765541553E-3</v>
      </c>
      <c r="P69" s="77">
        <f>(P10-H54)/P7</f>
        <v>0.22714378937626806</v>
      </c>
      <c r="Q69" s="78"/>
    </row>
    <row r="70" spans="10:17" x14ac:dyDescent="0.25">
      <c r="J70" s="39" t="s">
        <v>41</v>
      </c>
      <c r="K70" s="65" t="s">
        <v>64</v>
      </c>
      <c r="L70" s="65" t="s">
        <v>64</v>
      </c>
      <c r="M70" s="65" t="s">
        <v>64</v>
      </c>
      <c r="N70" s="46">
        <f>N62/N59</f>
        <v>2.5928566798470213E-3</v>
      </c>
      <c r="O70" s="46">
        <f t="shared" ref="O70:P70" si="36">O62/O59</f>
        <v>3.6771465342893914E-3</v>
      </c>
      <c r="P70" s="70">
        <f>P62/P59</f>
        <v>0</v>
      </c>
    </row>
    <row r="71" spans="10:17" x14ac:dyDescent="0.25">
      <c r="J71" s="39" t="s">
        <v>42</v>
      </c>
      <c r="K71" s="43">
        <f>AVERAGE(K29)/C5*365</f>
        <v>3.7810533762294765</v>
      </c>
      <c r="L71" s="43">
        <f>AVERAGE(K29:L29)/D5*365</f>
        <v>3.4571127591175452</v>
      </c>
      <c r="M71" s="43">
        <f>AVERAGE(L29:M29)/E5*365</f>
        <v>3.7964474454824688</v>
      </c>
      <c r="N71" s="43">
        <f>AVERAGE(M29:N29)/F5*365</f>
        <v>3.4223256839767213</v>
      </c>
      <c r="O71" s="43">
        <f>AVERAGE(N29:O29)/G5*365</f>
        <v>3.8618729369703759</v>
      </c>
      <c r="P71" s="75" t="s">
        <v>167</v>
      </c>
    </row>
    <row r="72" spans="10:17" x14ac:dyDescent="0.25">
      <c r="J72" s="39" t="s">
        <v>43</v>
      </c>
      <c r="K72" s="43">
        <f>(AVERAGE(K41)/SUM(C9:C11))*365</f>
        <v>9.731921497999906</v>
      </c>
      <c r="L72" s="43">
        <f>(AVERAGE(K41:L41)/SUM(D9:D11)*365)</f>
        <v>10.920952243553181</v>
      </c>
      <c r="M72" s="43">
        <f>(AVERAGE(L41:M41)/SUM(E9:E11)*365)</f>
        <v>14.885876670911829</v>
      </c>
      <c r="N72" s="43">
        <f>(AVERAGE(M41:N41)/SUM(F9:F11)*365)</f>
        <v>15.149497652392888</v>
      </c>
      <c r="O72" s="43">
        <f t="shared" ref="O72:P72" si="37">(AVERAGE(N41:O41)/SUM(G9:G11)*365)</f>
        <v>11.947617569455222</v>
      </c>
      <c r="P72" s="75" t="s">
        <v>167</v>
      </c>
    </row>
    <row r="73" spans="10:17" x14ac:dyDescent="0.25">
      <c r="J73" s="39" t="s">
        <v>44</v>
      </c>
      <c r="K73" s="43">
        <f>AVERAGE(K27)/SUM(C9:C11)*365</f>
        <v>166.01410741430141</v>
      </c>
      <c r="L73" s="43">
        <f>AVERAGE(K27:L27)/SUM(D9:D11)*365</f>
        <v>148.83411563005362</v>
      </c>
      <c r="M73" s="43">
        <f>AVERAGE(L27:M27)/SUM(E9:E11)*365</f>
        <v>174.75442688257573</v>
      </c>
      <c r="N73" s="43">
        <f>AVERAGE(M27:N27)/SUM(F9:F11)*365</f>
        <v>178.48928154686439</v>
      </c>
      <c r="O73" s="43">
        <f t="shared" ref="O73:P73" si="38">AVERAGE(N27:O27)/SUM(G9:G11)*365</f>
        <v>191.82146104755728</v>
      </c>
      <c r="P73" s="75" t="s">
        <v>167</v>
      </c>
    </row>
    <row r="74" spans="10:17" x14ac:dyDescent="0.25">
      <c r="J74" s="39" t="s">
        <v>45</v>
      </c>
      <c r="K74" s="43">
        <f>K71+K73-K72</f>
        <v>160.06323929253097</v>
      </c>
      <c r="L74" s="43">
        <f t="shared" ref="L74:O74" si="39">L71+L73-L72</f>
        <v>141.37027614561796</v>
      </c>
      <c r="M74" s="43">
        <f t="shared" si="39"/>
        <v>163.66499765714636</v>
      </c>
      <c r="N74" s="43">
        <f t="shared" si="39"/>
        <v>166.76210957844822</v>
      </c>
      <c r="O74" s="43">
        <f t="shared" si="39"/>
        <v>183.73571641507243</v>
      </c>
      <c r="P74" s="75" t="s">
        <v>167</v>
      </c>
    </row>
    <row r="75" spans="10:17" x14ac:dyDescent="0.25">
      <c r="J75" s="39" t="s">
        <v>46</v>
      </c>
      <c r="K75" s="43">
        <f>AVERAGE(K46)/C5*365</f>
        <v>61.227573214192418</v>
      </c>
      <c r="L75" s="43">
        <f>AVERAGE(K46:L46/D5*365)</f>
        <v>59.229459229381433</v>
      </c>
      <c r="M75" s="43">
        <f>AVERAGE(L46:M46/E5*365)</f>
        <v>67.747116792939835</v>
      </c>
      <c r="N75" s="43">
        <f>AVERAGE(M46:N46/F5*365)</f>
        <v>81.602742794303055</v>
      </c>
      <c r="O75" s="43">
        <f t="shared" ref="O75:P75" si="40">AVERAGE(N46:O46/G5*365)</f>
        <v>100.25815287815942</v>
      </c>
      <c r="P75" s="75" t="s">
        <v>167</v>
      </c>
    </row>
    <row r="76" spans="10:17" x14ac:dyDescent="0.25">
      <c r="J76" s="41" t="s">
        <v>47</v>
      </c>
      <c r="K76" s="46">
        <f t="shared" ref="K76:P76" si="41">C20/K10</f>
        <v>0.1251530677404572</v>
      </c>
      <c r="L76" s="46">
        <f t="shared" si="41"/>
        <v>8.2134079286925218E-2</v>
      </c>
      <c r="M76" s="46">
        <f t="shared" si="41"/>
        <v>7.2971414519151678E-2</v>
      </c>
      <c r="N76" s="46">
        <f t="shared" si="41"/>
        <v>0.18318723384785884</v>
      </c>
      <c r="O76" s="46">
        <f t="shared" si="41"/>
        <v>0.231950099361938</v>
      </c>
      <c r="P76" s="70">
        <f>H20/P10</f>
        <v>8.5361182504510233E-2</v>
      </c>
    </row>
    <row r="77" spans="10:17" x14ac:dyDescent="0.25">
      <c r="J77" s="36" t="s">
        <v>48</v>
      </c>
      <c r="K77" s="43">
        <f t="shared" ref="K77:P77" si="42">(C21+C20)/C20</f>
        <v>2.2554736857901734</v>
      </c>
      <c r="L77" s="43">
        <f t="shared" si="42"/>
        <v>3.4966351105405091</v>
      </c>
      <c r="M77" s="43">
        <f t="shared" si="42"/>
        <v>3.5118473498890146</v>
      </c>
      <c r="N77" s="43">
        <f t="shared" si="42"/>
        <v>3.3083355688556266</v>
      </c>
      <c r="O77" s="43">
        <f t="shared" si="42"/>
        <v>2.5994258949284976</v>
      </c>
      <c r="P77" s="69">
        <f>(H21+H20)/H20</f>
        <v>3.2397074330842948</v>
      </c>
    </row>
    <row r="78" spans="10:17" x14ac:dyDescent="0.25">
      <c r="J78" s="41" t="s">
        <v>113</v>
      </c>
      <c r="K78" s="43">
        <f>C5/AVERAGE(K55)</f>
        <v>1.7061400105303863</v>
      </c>
      <c r="L78" s="43">
        <f>D5/AVERAGE(K55:L55)</f>
        <v>1.9317712178936799</v>
      </c>
      <c r="M78" s="43">
        <f>E5/AVERAGE(L55:M55)</f>
        <v>1.6291682116326345</v>
      </c>
      <c r="N78" s="43">
        <f>F5/AVERAGE(M55:N55)</f>
        <v>1.5816117044461679</v>
      </c>
      <c r="O78" s="43">
        <f>G5/AVERAGE(N55:O55)</f>
        <v>1.4944067245648223</v>
      </c>
      <c r="P78" s="75" t="s">
        <v>167</v>
      </c>
    </row>
  </sheetData>
  <mergeCells count="3">
    <mergeCell ref="B3:H3"/>
    <mergeCell ref="J3:P3"/>
    <mergeCell ref="B2:P2"/>
  </mergeCells>
  <pageMargins left="0.7" right="0.7" top="0.75" bottom="0.75" header="0.3" footer="0.3"/>
  <pageSetup paperSize="9" orientation="portrait" horizontalDpi="1200" verticalDpi="1200" r:id="rId1"/>
  <ignoredErrors>
    <ignoredError sqref="C54:H54 L71:O71 K72:L72 O72 M72:N72 K73:O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D26" sqref="D26"/>
    </sheetView>
  </sheetViews>
  <sheetFormatPr defaultRowHeight="15" x14ac:dyDescent="0.25"/>
  <cols>
    <col min="1" max="1" width="45" customWidth="1"/>
    <col min="2" max="10" width="15.140625" customWidth="1"/>
  </cols>
  <sheetData>
    <row r="1" spans="1:11" x14ac:dyDescent="0.25">
      <c r="B1" s="1" t="s">
        <v>14</v>
      </c>
      <c r="C1" s="1" t="s">
        <v>65</v>
      </c>
      <c r="D1" s="1" t="s">
        <v>14</v>
      </c>
      <c r="E1" s="1" t="s">
        <v>65</v>
      </c>
      <c r="F1" s="1" t="s">
        <v>14</v>
      </c>
      <c r="G1" s="1" t="s">
        <v>65</v>
      </c>
      <c r="H1" s="1" t="s">
        <v>14</v>
      </c>
      <c r="I1" s="1" t="s">
        <v>65</v>
      </c>
      <c r="J1" s="1" t="s">
        <v>14</v>
      </c>
      <c r="K1" s="1" t="s">
        <v>65</v>
      </c>
    </row>
    <row r="2" spans="1:11" x14ac:dyDescent="0.25">
      <c r="A2" s="2" t="s">
        <v>66</v>
      </c>
      <c r="B2" s="71" t="s">
        <v>109</v>
      </c>
      <c r="C2" s="72"/>
      <c r="D2" s="71" t="s">
        <v>110</v>
      </c>
      <c r="E2" s="72"/>
      <c r="F2" s="71" t="s">
        <v>111</v>
      </c>
      <c r="G2" s="72"/>
      <c r="H2" s="73" t="s">
        <v>112</v>
      </c>
      <c r="I2" s="74"/>
      <c r="J2" s="71" t="s">
        <v>67</v>
      </c>
      <c r="K2" s="72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25">
      <c r="A4" s="5" t="s">
        <v>68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25">
      <c r="A5" s="3" t="s">
        <v>69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25">
      <c r="A6" s="3" t="s">
        <v>70</v>
      </c>
      <c r="B6" s="6"/>
      <c r="C6" s="9" t="s">
        <v>64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25">
      <c r="A7" s="3" t="s">
        <v>71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25">
      <c r="A8" s="3" t="s">
        <v>72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25">
      <c r="A9" s="3" t="s">
        <v>73</v>
      </c>
      <c r="B9" s="6"/>
      <c r="C9" s="9" t="s">
        <v>64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25">
      <c r="A10" s="3" t="s">
        <v>71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25">
      <c r="A11" s="3" t="s">
        <v>74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25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25">
      <c r="A13" s="3" t="s">
        <v>75</v>
      </c>
      <c r="B13" s="6"/>
      <c r="C13" s="9" t="s">
        <v>64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25">
      <c r="A14" s="3" t="s">
        <v>71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25">
      <c r="A15" s="3" t="s">
        <v>76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25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25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25">
      <c r="A18" s="5" t="s">
        <v>77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25">
      <c r="A19" s="3" t="s">
        <v>78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25">
      <c r="A20" s="3" t="s">
        <v>60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25">
      <c r="A21" s="3" t="s">
        <v>79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25">
      <c r="A22" s="3" t="s">
        <v>80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25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25">
      <c r="A24" s="5" t="s">
        <v>81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25">
      <c r="A25" s="3" t="s">
        <v>82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25">
      <c r="A26" s="3" t="s">
        <v>57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25">
      <c r="A27" s="3" t="s">
        <v>83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25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25">
      <c r="A29" s="3" t="s">
        <v>84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25">
      <c r="A30" s="3" t="s">
        <v>59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25">
      <c r="A31" s="3" t="s">
        <v>85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25">
      <c r="A32" s="3" t="s">
        <v>86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25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25">
      <c r="A34" s="3" t="s">
        <v>87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25">
      <c r="A35" s="3" t="s">
        <v>41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25">
      <c r="A36" s="3" t="s">
        <v>88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25">
      <c r="A37" s="3" t="s">
        <v>89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25">
      <c r="A38" s="3" t="s">
        <v>90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25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25">
      <c r="A40" s="5" t="s">
        <v>91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25">
      <c r="A41" s="3" t="s">
        <v>92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25">
      <c r="A42" s="3" t="s">
        <v>93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25">
      <c r="A43" s="3" t="s">
        <v>94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25">
      <c r="A44" s="3" t="s">
        <v>95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25">
      <c r="A45" s="3" t="s">
        <v>96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25">
      <c r="A46" s="3" t="s">
        <v>97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25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25">
      <c r="A48" s="3" t="s">
        <v>98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25">
      <c r="A49" s="3" t="s">
        <v>99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25">
      <c r="A50" s="3" t="s">
        <v>100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25">
      <c r="A51" s="3" t="s">
        <v>101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25">
      <c r="A52" s="3" t="s">
        <v>102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25">
      <c r="A53" s="3" t="s">
        <v>103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25">
      <c r="A54" s="3" t="s">
        <v>104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25">
      <c r="A55" s="3" t="s">
        <v>105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25">
      <c r="A56" s="3" t="s">
        <v>106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25">
      <c r="A57" s="3" t="s">
        <v>97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25">
      <c r="A58" s="3" t="s">
        <v>107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25">
      <c r="A59" s="28" t="s">
        <v>108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2025-11-19T05:58:06Z</dcterms:modified>
</cp:coreProperties>
</file>